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ba\OneDrive\Skrivebord\BEREGNER\"/>
    </mc:Choice>
  </mc:AlternateContent>
  <xr:revisionPtr revIDLastSave="188" documentId="8_{D21C5FE9-1EEB-46E2-BA88-D92BFF32AC16}" xr6:coauthVersionLast="47" xr6:coauthVersionMax="47" xr10:uidLastSave="{EB8A1516-7462-4487-8086-BE08BC6423C2}"/>
  <bookViews>
    <workbookView xWindow="-108" yWindow="-108" windowWidth="23256" windowHeight="12456" xr2:uid="{00000000-000D-0000-FFFF-FFFF00000000}"/>
  </bookViews>
  <sheets>
    <sheet name="BEREGNER" sheetId="2" r:id="rId1"/>
    <sheet name="Ark1" sheetId="6" state="hidden" r:id="rId2"/>
    <sheet name="Formler" sheetId="5" state="hidden" r:id="rId3"/>
    <sheet name="Skal skjules" sheetId="3" state="hidden" r:id="rId4"/>
    <sheet name="Diagrammer" sheetId="4" state="hidden" r:id="rId5"/>
  </sheets>
  <definedNames>
    <definedName name="_xlnm.Print_Area" localSheetId="0">BEREGNER!$A$1:$L$61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2" l="1"/>
  <c r="D44" i="5"/>
  <c r="F46" i="2" s="1"/>
  <c r="G43" i="5"/>
  <c r="G42" i="5"/>
  <c r="G44" i="5" s="1"/>
  <c r="J46" i="2" s="1"/>
  <c r="H6" i="2"/>
  <c r="D18" i="5"/>
  <c r="M24" i="5"/>
  <c r="M23" i="5"/>
  <c r="M22" i="5"/>
  <c r="D23" i="2"/>
  <c r="F23" i="2"/>
  <c r="Q30" i="5"/>
  <c r="Q29" i="5"/>
  <c r="F32" i="2"/>
  <c r="F40" i="2"/>
  <c r="J6" i="2"/>
  <c r="I15" i="2" s="1"/>
  <c r="G6" i="2"/>
  <c r="I6" i="2"/>
  <c r="D32" i="2"/>
  <c r="J31" i="2" s="1"/>
  <c r="B53" i="5"/>
  <c r="G20" i="5"/>
  <c r="F20" i="5"/>
  <c r="G18" i="5"/>
  <c r="F18" i="5"/>
  <c r="J13" i="2"/>
  <c r="M25" i="5" l="1"/>
  <c r="D20" i="5"/>
  <c r="G13" i="2"/>
  <c r="D47" i="2" s="1"/>
  <c r="J47" i="2" s="1"/>
  <c r="J48" i="2" s="1"/>
  <c r="D54" i="5" s="1"/>
  <c r="D24" i="2" l="1"/>
  <c r="J23" i="2"/>
  <c r="F24" i="2" l="1"/>
  <c r="D40" i="2" l="1"/>
  <c r="J22" i="2"/>
  <c r="F13" i="2"/>
  <c r="J37" i="2" l="1"/>
  <c r="J38" i="2"/>
  <c r="J30" i="2"/>
  <c r="J32" i="2"/>
  <c r="J39" i="2"/>
  <c r="J40" i="2"/>
  <c r="J41" i="2" l="1"/>
  <c r="J33" i="2"/>
  <c r="O7" i="3"/>
  <c r="J24" i="2"/>
  <c r="D53" i="5" l="1"/>
  <c r="P2" i="3"/>
  <c r="Q2" i="3" s="1"/>
  <c r="R2" i="3" s="1"/>
  <c r="L2" i="3"/>
  <c r="AO38" i="3"/>
  <c r="P7" i="3" l="1"/>
  <c r="S2" i="3"/>
  <c r="Q7" i="3" l="1"/>
  <c r="T2" i="3"/>
  <c r="N9" i="3"/>
  <c r="O9" i="3" s="1"/>
  <c r="N10" i="3" l="1"/>
  <c r="T10" i="3" s="1"/>
  <c r="Q9" i="3"/>
  <c r="P9" i="3"/>
  <c r="R9" i="3"/>
  <c r="S9" i="3"/>
  <c r="U2" i="3"/>
  <c r="T9" i="3"/>
  <c r="R7" i="3"/>
  <c r="S7" i="3" l="1"/>
  <c r="P10" i="3"/>
  <c r="P11" i="3" s="1"/>
  <c r="O10" i="3"/>
  <c r="O11" i="3" s="1"/>
  <c r="O12" i="3" s="1"/>
  <c r="R10" i="3"/>
  <c r="R11" i="3" s="1"/>
  <c r="Q10" i="3"/>
  <c r="Q11" i="3" s="1"/>
  <c r="S10" i="3"/>
  <c r="U10" i="3"/>
  <c r="V2" i="3"/>
  <c r="U9" i="3"/>
  <c r="P12" i="3" l="1"/>
  <c r="Q12" i="3" s="1"/>
  <c r="R12" i="3" s="1"/>
  <c r="S11" i="3"/>
  <c r="T7" i="3"/>
  <c r="W2" i="3"/>
  <c r="V10" i="3"/>
  <c r="V9" i="3"/>
  <c r="S12" i="3" l="1"/>
  <c r="X2" i="3"/>
  <c r="W9" i="3"/>
  <c r="W10" i="3"/>
  <c r="U7" i="3"/>
  <c r="T11" i="3"/>
  <c r="T12" i="3" l="1"/>
  <c r="Y2" i="3"/>
  <c r="X9" i="3"/>
  <c r="X10" i="3"/>
  <c r="V7" i="3"/>
  <c r="U11" i="3"/>
  <c r="U12" i="3" l="1"/>
  <c r="Y10" i="3"/>
  <c r="Z2" i="3"/>
  <c r="Y9" i="3"/>
  <c r="W7" i="3"/>
  <c r="V11" i="3"/>
  <c r="V12" i="3" l="1"/>
  <c r="W11" i="3"/>
  <c r="X7" i="3"/>
  <c r="Z10" i="3"/>
  <c r="AA2" i="3"/>
  <c r="Z9" i="3"/>
  <c r="W12" i="3" l="1"/>
  <c r="AB2" i="3"/>
  <c r="AA9" i="3"/>
  <c r="AA10" i="3"/>
  <c r="Y7" i="3"/>
  <c r="X11" i="3"/>
  <c r="X12" i="3" l="1"/>
  <c r="AC2" i="3"/>
  <c r="AB9" i="3"/>
  <c r="AB10" i="3"/>
  <c r="Y11" i="3"/>
  <c r="Z7" i="3"/>
  <c r="Y12" i="3" l="1"/>
  <c r="AA7" i="3"/>
  <c r="Z11" i="3"/>
  <c r="AC10" i="3"/>
  <c r="AD2" i="3"/>
  <c r="AC9" i="3"/>
  <c r="Z12" i="3" l="1"/>
  <c r="AA11" i="3"/>
  <c r="AB7" i="3"/>
  <c r="AE2" i="3"/>
  <c r="AD10" i="3"/>
  <c r="AD9" i="3"/>
  <c r="AA12" i="3" l="1"/>
  <c r="AF2" i="3"/>
  <c r="AE9" i="3"/>
  <c r="AE10" i="3"/>
  <c r="AC7" i="3"/>
  <c r="AB11" i="3"/>
  <c r="AB12" i="3" l="1"/>
  <c r="AG2" i="3"/>
  <c r="AF9" i="3"/>
  <c r="AF10" i="3"/>
  <c r="AD7" i="3"/>
  <c r="AC11" i="3"/>
  <c r="AC12" i="3" l="1"/>
  <c r="AG10" i="3"/>
  <c r="AH2" i="3"/>
  <c r="AG9" i="3"/>
  <c r="AD11" i="3"/>
  <c r="AE7" i="3"/>
  <c r="AD12" i="3" l="1"/>
  <c r="AE11" i="3"/>
  <c r="AF7" i="3"/>
  <c r="AH9" i="3"/>
  <c r="AI2" i="3"/>
  <c r="AH10" i="3"/>
  <c r="AE12" i="3" l="1"/>
  <c r="AG7" i="3"/>
  <c r="AF11" i="3"/>
  <c r="AJ2" i="3"/>
  <c r="AI9" i="3"/>
  <c r="AI10" i="3"/>
  <c r="AF12" i="3" l="1"/>
  <c r="AH7" i="3"/>
  <c r="AG11" i="3"/>
  <c r="AK2" i="3"/>
  <c r="AJ9" i="3"/>
  <c r="AJ10" i="3"/>
  <c r="AG12" i="3" l="1"/>
  <c r="AH11" i="3"/>
  <c r="AI7" i="3"/>
  <c r="AK10" i="3"/>
  <c r="AL2" i="3"/>
  <c r="AK9" i="3"/>
  <c r="AH12" i="3" l="1"/>
  <c r="AM2" i="3"/>
  <c r="AL10" i="3"/>
  <c r="AL9" i="3"/>
  <c r="AI11" i="3"/>
  <c r="AJ7" i="3"/>
  <c r="AI12" i="3" l="1"/>
  <c r="AK7" i="3"/>
  <c r="AJ11" i="3"/>
  <c r="AN2" i="3"/>
  <c r="AM9" i="3"/>
  <c r="AM10" i="3"/>
  <c r="AJ12" i="3" l="1"/>
  <c r="AL7" i="3"/>
  <c r="AK11" i="3"/>
  <c r="AN9" i="3"/>
  <c r="AN10" i="3"/>
  <c r="AK12" i="3" l="1"/>
  <c r="AM7" i="3"/>
  <c r="AL11" i="3"/>
  <c r="AL12" i="3" l="1"/>
  <c r="AM11" i="3"/>
  <c r="AN7" i="3"/>
  <c r="AN11" i="3" s="1"/>
  <c r="AM12" i="3" l="1"/>
  <c r="AN12" i="3" s="1"/>
  <c r="J25" i="2"/>
  <c r="J26" i="2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AH3" i="3" s="1"/>
  <c r="AI3" i="3" s="1"/>
  <c r="AJ3" i="3" s="1"/>
  <c r="AK3" i="3" s="1"/>
  <c r="AL3" i="3" s="1"/>
  <c r="AM3" i="3" s="1"/>
  <c r="AN3" i="3" s="1"/>
  <c r="D52" i="5" l="1"/>
  <c r="O4" i="3"/>
  <c r="P4" i="3" l="1"/>
  <c r="O5" i="3"/>
  <c r="O6" i="3" s="1"/>
  <c r="Q4" i="3" l="1"/>
  <c r="P5" i="3"/>
  <c r="P6" i="3" s="1"/>
  <c r="R4" i="3" l="1"/>
  <c r="Q5" i="3"/>
  <c r="Q6" i="3" s="1"/>
  <c r="S4" i="3" l="1"/>
  <c r="R5" i="3"/>
  <c r="R6" i="3" s="1"/>
  <c r="T4" i="3" l="1"/>
  <c r="S5" i="3"/>
  <c r="S6" i="3" s="1"/>
  <c r="U4" i="3" l="1"/>
  <c r="T5" i="3"/>
  <c r="T6" i="3" s="1"/>
  <c r="V4" i="3" l="1"/>
  <c r="U5" i="3"/>
  <c r="U6" i="3" s="1"/>
  <c r="W4" i="3" l="1"/>
  <c r="V5" i="3"/>
  <c r="V6" i="3" s="1"/>
  <c r="X4" i="3" l="1"/>
  <c r="W5" i="3"/>
  <c r="W6" i="3" s="1"/>
  <c r="Y4" i="3" l="1"/>
  <c r="X5" i="3"/>
  <c r="X6" i="3" s="1"/>
  <c r="Z4" i="3" l="1"/>
  <c r="Y5" i="3"/>
  <c r="Y6" i="3" s="1"/>
  <c r="AA4" i="3" l="1"/>
  <c r="Z5" i="3"/>
  <c r="Z6" i="3" s="1"/>
  <c r="AB4" i="3" l="1"/>
  <c r="AA5" i="3"/>
  <c r="AA6" i="3" s="1"/>
  <c r="AC4" i="3" l="1"/>
  <c r="AB5" i="3"/>
  <c r="AB6" i="3" s="1"/>
  <c r="AD4" i="3" l="1"/>
  <c r="AC5" i="3"/>
  <c r="AC6" i="3" s="1"/>
  <c r="AE4" i="3" l="1"/>
  <c r="AD5" i="3"/>
  <c r="AD6" i="3" s="1"/>
  <c r="AF4" i="3" l="1"/>
  <c r="AE5" i="3"/>
  <c r="AE6" i="3" s="1"/>
  <c r="AG4" i="3" l="1"/>
  <c r="AF5" i="3"/>
  <c r="AF6" i="3" s="1"/>
  <c r="AH4" i="3" l="1"/>
  <c r="AG5" i="3"/>
  <c r="AG6" i="3" s="1"/>
  <c r="AI4" i="3" l="1"/>
  <c r="AH5" i="3"/>
  <c r="AH6" i="3" s="1"/>
  <c r="AJ4" i="3" l="1"/>
  <c r="AI5" i="3"/>
  <c r="AI6" i="3" s="1"/>
  <c r="AK4" i="3" l="1"/>
  <c r="AJ5" i="3"/>
  <c r="AJ6" i="3" s="1"/>
  <c r="AL4" i="3" l="1"/>
  <c r="AK5" i="3"/>
  <c r="AK6" i="3" s="1"/>
  <c r="AM4" i="3" l="1"/>
  <c r="AL5" i="3"/>
  <c r="AL6" i="3" s="1"/>
  <c r="AN4" i="3" l="1"/>
  <c r="AN5" i="3" s="1"/>
  <c r="AM5" i="3"/>
  <c r="AM6" i="3" s="1"/>
  <c r="AN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privat</author>
    <author>SkolePC</author>
  </authors>
  <commentList>
    <comment ref="G1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1 liter olie = 10,1 kWh
1 m3 gas   = 11,0 kWh</t>
        </r>
      </text>
    </comment>
    <comment ref="J13" authorId="1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 xml:space="preserve">Beregnet med følgende priser:
1 liter olie koster  14,00 kr. 
1 m3  gas  koster  12,50 kr. 
</t>
        </r>
      </text>
    </comment>
    <comment ref="D24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Dit varmebehov i MWh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7" authorId="0" shapeId="0" xr:uid="{41FF4E5F-7757-49F7-B7AD-93D1CA529A0C}">
      <text>
        <r>
          <rPr>
            <sz val="11"/>
            <color theme="1"/>
            <rFont val="Calibri"/>
            <family val="2"/>
            <scheme val="minor"/>
          </rPr>
          <t xml:space="preserve">Dit elforbrug til opvarmning i MWh
</t>
        </r>
      </text>
    </comment>
  </commentList>
</comments>
</file>

<file path=xl/sharedStrings.xml><?xml version="1.0" encoding="utf-8"?>
<sst xmlns="http://schemas.openxmlformats.org/spreadsheetml/2006/main" count="241" uniqueCount="143">
  <si>
    <t>TILMELDING TIL FJERNVARME</t>
  </si>
  <si>
    <t xml:space="preserve"> </t>
  </si>
  <si>
    <t>Virkningsgrad for dit anlæg:</t>
  </si>
  <si>
    <t>Tilslutningsafgift</t>
  </si>
  <si>
    <t>35.000 kr incl.moms</t>
  </si>
  <si>
    <t>Virkningsgrad for olie eller gaskedler:</t>
  </si>
  <si>
    <t>Fjernvarmeunit</t>
  </si>
  <si>
    <t>15.000 kr incl.moms</t>
  </si>
  <si>
    <t>Før 2005</t>
  </si>
  <si>
    <t>2005-2015</t>
  </si>
  <si>
    <t>Efter 2015</t>
  </si>
  <si>
    <t>Tilslutningspris i alt</t>
  </si>
  <si>
    <t>50.000 kr incl.moms</t>
  </si>
  <si>
    <t>%</t>
  </si>
  <si>
    <t>Beregn dit varmebehov i MWh:</t>
  </si>
  <si>
    <t xml:space="preserve">   Opvarmet boligareal   (BBR)</t>
  </si>
  <si>
    <t>m2</t>
  </si>
  <si>
    <t>Nuværende varmekilde:</t>
  </si>
  <si>
    <t>Årligt forbrug</t>
  </si>
  <si>
    <t>Årligt varmebehov</t>
  </si>
  <si>
    <t xml:space="preserve">Årlig udgift  </t>
  </si>
  <si>
    <t>(VÆLG)</t>
  </si>
  <si>
    <t>til indkøb af olie/gas</t>
  </si>
  <si>
    <t>Gasfyr</t>
  </si>
  <si>
    <t xml:space="preserve">  MWh</t>
  </si>
  <si>
    <t xml:space="preserve">  kr.</t>
  </si>
  <si>
    <t>Installeret år:</t>
  </si>
  <si>
    <t>Virkningsgrad:</t>
  </si>
  <si>
    <t>Varmeøkonomi:</t>
  </si>
  <si>
    <t>El- olie- og gaspriser pr. 1. marts 2024</t>
  </si>
  <si>
    <t>Fjernvarme:</t>
  </si>
  <si>
    <t>Årlige udgifter</t>
  </si>
  <si>
    <t>Abonnement</t>
  </si>
  <si>
    <t>Fast bidrag</t>
  </si>
  <si>
    <t>kr./m2</t>
  </si>
  <si>
    <t>Forbrug</t>
  </si>
  <si>
    <t xml:space="preserve">  MWh á </t>
  </si>
  <si>
    <t>kr./MWh</t>
  </si>
  <si>
    <t>Afskrivning af tilslutningsbidrag og fjernvarmeunit incl. drift</t>
  </si>
  <si>
    <t xml:space="preserve">Årlige udgifter til Fjernvarme incl. moms: </t>
  </si>
  <si>
    <t>Oliefyr:</t>
  </si>
  <si>
    <t>Driftudgifter (el til blæser, service, skorstensfejer )</t>
  </si>
  <si>
    <t>Opsparing til anden enrgiform (36.000 kr. over 18 år)</t>
  </si>
  <si>
    <t xml:space="preserve">  liter á</t>
  </si>
  <si>
    <t xml:space="preserve">  kr/liter</t>
  </si>
  <si>
    <t>Årlige udgifter til Oliefyr incl. moms:</t>
  </si>
  <si>
    <t>Gasfyr:</t>
  </si>
  <si>
    <t>Opsparing til nyt gasfyr (36.000 kr. over 18 år)</t>
  </si>
  <si>
    <t>Driftudgifter (el til blæser, service )</t>
  </si>
  <si>
    <r>
      <t xml:space="preserve"> 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gas á</t>
    </r>
  </si>
  <si>
    <r>
      <t xml:space="preserve">  kr./m</t>
    </r>
    <r>
      <rPr>
        <vertAlign val="superscript"/>
        <sz val="11"/>
        <color theme="1"/>
        <rFont val="Calibri"/>
        <family val="2"/>
        <scheme val="minor"/>
      </rPr>
      <t>3</t>
    </r>
  </si>
  <si>
    <t>Årlige udgifter til Gasfyr incl. moms:</t>
  </si>
  <si>
    <t>Varmepumpe</t>
  </si>
  <si>
    <t>Luft/vand, VSOP =</t>
  </si>
  <si>
    <t>Drift og vedligehold</t>
  </si>
  <si>
    <t xml:space="preserve">Investering incl. afkobling af gas </t>
  </si>
  <si>
    <t>kr (over 16/50 år)</t>
  </si>
  <si>
    <t>Årlige udgifter til varmepumpe incl. moms:</t>
  </si>
  <si>
    <t>Nøgletal</t>
  </si>
  <si>
    <t>NY</t>
  </si>
  <si>
    <t>Virkningsgrad</t>
  </si>
  <si>
    <t>Tilmeldingstakster:</t>
  </si>
  <si>
    <t>Beregning af virkningsgrad</t>
  </si>
  <si>
    <t>Olie</t>
  </si>
  <si>
    <t>efter 2004</t>
  </si>
  <si>
    <t>2004-1995</t>
  </si>
  <si>
    <t>før 1995</t>
  </si>
  <si>
    <t>Gas</t>
  </si>
  <si>
    <t>Varmeomsætning:</t>
  </si>
  <si>
    <t xml:space="preserve">  kWh/liter</t>
  </si>
  <si>
    <r>
      <t xml:space="preserve">  kWh/m</t>
    </r>
    <r>
      <rPr>
        <vertAlign val="superscript"/>
        <sz val="11"/>
        <color theme="1"/>
        <rFont val="Calibri"/>
        <family val="2"/>
        <scheme val="minor"/>
      </rPr>
      <t>3</t>
    </r>
  </si>
  <si>
    <t>Opsparing:</t>
  </si>
  <si>
    <t>Beløb</t>
  </si>
  <si>
    <t>år</t>
  </si>
  <si>
    <t>pr.  år</t>
  </si>
  <si>
    <t>kr</t>
  </si>
  <si>
    <t>pris ændret 1.1.22 efter Excel fra John,. Godkendt af revisor - finjusteret d. 8.4. efter møde med Poul og Erik</t>
  </si>
  <si>
    <t>pris ændret 1.1.22 efter Excel fra John,. Godkendt af revisor</t>
  </si>
  <si>
    <t>Driftudgifter</t>
  </si>
  <si>
    <t>Opsparing/afskrivn.</t>
  </si>
  <si>
    <t>Afskr. år</t>
  </si>
  <si>
    <t>Afsk/år</t>
  </si>
  <si>
    <t>Tilslutningsbidrag</t>
  </si>
  <si>
    <t xml:space="preserve"> kr</t>
  </si>
  <si>
    <t>Oliefyr</t>
  </si>
  <si>
    <t>Afkobling af gas</t>
  </si>
  <si>
    <t>Opsparing/afskrivning</t>
  </si>
  <si>
    <t>22.09.2023</t>
  </si>
  <si>
    <t>FAST</t>
  </si>
  <si>
    <t>Priser:</t>
  </si>
  <si>
    <t>pr. MWh</t>
  </si>
  <si>
    <t>01.04.2021</t>
  </si>
  <si>
    <t>1.1.2022</t>
  </si>
  <si>
    <t>18.3..22</t>
  </si>
  <si>
    <t>8.4.22</t>
  </si>
  <si>
    <t>Sparenergi.dk</t>
  </si>
  <si>
    <t>10,45 kr/liter</t>
  </si>
  <si>
    <t>OK</t>
  </si>
  <si>
    <t>11,01 kr/liter</t>
  </si>
  <si>
    <t>13,76 kr/liter</t>
  </si>
  <si>
    <t>sparenergi.dk</t>
  </si>
  <si>
    <t>"Super Olie" på www.fyringsolie-online.dk/</t>
  </si>
  <si>
    <t>Naturgas</t>
  </si>
  <si>
    <t>7,29 kr/m3</t>
  </si>
  <si>
    <t>9,26 kr/m3</t>
  </si>
  <si>
    <t>11,15 kr/m3</t>
  </si>
  <si>
    <t>El-</t>
  </si>
  <si>
    <t>kr/MWh</t>
  </si>
  <si>
    <t>kWh koster</t>
  </si>
  <si>
    <t>invest</t>
  </si>
  <si>
    <t>afskr.år</t>
  </si>
  <si>
    <t>pr/år</t>
  </si>
  <si>
    <t xml:space="preserve">  kr</t>
  </si>
  <si>
    <t>Investering i alt</t>
  </si>
  <si>
    <t>Diagram:</t>
  </si>
  <si>
    <t>Fjernvarme</t>
  </si>
  <si>
    <t>Omregningsfaktor er følgende</t>
  </si>
  <si>
    <t>Gaskedel installeret år:</t>
  </si>
  <si>
    <t>Inflation, %/år</t>
  </si>
  <si>
    <t>Fjv. r&amp;a, 55%</t>
  </si>
  <si>
    <t>Fjernvarme; 1 kWh pr. enhed</t>
  </si>
  <si>
    <t>Fjv. var, omkost</t>
  </si>
  <si>
    <t>Olie; 10,1 kWh pr. liter</t>
  </si>
  <si>
    <t>Fjv. i alt</t>
  </si>
  <si>
    <t>Naturgas; 11 kWh pr. m3-gas</t>
  </si>
  <si>
    <t>Akkumuleret</t>
  </si>
  <si>
    <t>El-varme; 1 kWh pr. enhed</t>
  </si>
  <si>
    <t>Nuværnede</t>
  </si>
  <si>
    <t>Brænde; 1550 kWh pr. m3 (rummeter) brænde (jeg sidestiller</t>
  </si>
  <si>
    <t>Ny gaskedel</t>
  </si>
  <si>
    <t xml:space="preserve"> forskellige træsorter – ser i denne model bort fra nuancerne).</t>
  </si>
  <si>
    <t>Jeg laver nu fire øvelser, med det samme hus, med hhv. højt</t>
  </si>
  <si>
    <t xml:space="preserve">Nuværende </t>
  </si>
  <si>
    <t xml:space="preserve"> og lavt naturgasforbrug og i begge tilfælde med og uden brændeovn.</t>
  </si>
  <si>
    <t xml:space="preserve">SENARIE 1; Hvis huset fx kun anvender naturgas (altså ingen </t>
  </si>
  <si>
    <t xml:space="preserve"> brændeovn) er det 1:1; </t>
  </si>
  <si>
    <t xml:space="preserve">20.000 kr á 6,5 kr pr. m3 gas = 3.076 m3 gas = 3076 * 11 = 33.946 kWh </t>
  </si>
  <si>
    <t xml:space="preserve">(hvis huset er på 150 m2 er det 225 kWh pr. m2 = det er højt forbrug pr. m2 </t>
  </si>
  <si>
    <t>(over normtallet på 140 kwh/m2))</t>
  </si>
  <si>
    <t>Diagram 1. Akkumuleret</t>
  </si>
  <si>
    <t>Diagram 2. Årligt</t>
  </si>
  <si>
    <t>Her vises udviklingen i priser for opvarmning af din bygning. Der er medtaget udgifter til nyt anlæg, når dette bliver relevant.</t>
  </si>
  <si>
    <t>Her er vist de årlige udgifter til opvarmning af din bygning. Der medtaget udgifter til et nyt anlæg, når dette bliver relevant.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</si>
</sst>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-* #,##0_-;\-* #,##0_-;_-* &quot;-&quot;??_-;_-@_-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u/>
      <sz val="14"/>
      <color rgb="FF555555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555555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555555"/>
      <name val="Calibri"/>
      <family val="2"/>
      <scheme val="minor"/>
    </font>
    <font>
      <b/>
      <sz val="12"/>
      <color rgb="FF555555"/>
      <name val="Times New Roman"/>
      <family val="1"/>
    </font>
    <font>
      <b/>
      <sz val="12"/>
      <color rgb="FF555555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171">
    <xf numFmtId="0" fontId="0" fillId="0" borderId="0" xfId="0"/>
    <xf numFmtId="0" fontId="0" fillId="3" borderId="6" xfId="0" applyFill="1" applyBorder="1"/>
    <xf numFmtId="0" fontId="0" fillId="3" borderId="4" xfId="0" applyFill="1" applyBorder="1"/>
    <xf numFmtId="0" fontId="3" fillId="3" borderId="0" xfId="0" applyFont="1" applyFill="1"/>
    <xf numFmtId="0" fontId="0" fillId="3" borderId="12" xfId="0" applyFill="1" applyBorder="1"/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0" fillId="3" borderId="16" xfId="0" applyFill="1" applyBorder="1"/>
    <xf numFmtId="0" fontId="6" fillId="3" borderId="3" xfId="0" applyFont="1" applyFill="1" applyBorder="1" applyAlignment="1">
      <alignment horizontal="center"/>
    </xf>
    <xf numFmtId="0" fontId="0" fillId="3" borderId="0" xfId="0" applyFill="1"/>
    <xf numFmtId="2" fontId="0" fillId="3" borderId="0" xfId="0" applyNumberFormat="1" applyFill="1"/>
    <xf numFmtId="0" fontId="0" fillId="3" borderId="5" xfId="0" applyFill="1" applyBorder="1"/>
    <xf numFmtId="0" fontId="5" fillId="3" borderId="0" xfId="0" applyFont="1" applyFill="1"/>
    <xf numFmtId="0" fontId="1" fillId="3" borderId="0" xfId="0" applyFont="1" applyFill="1"/>
    <xf numFmtId="0" fontId="0" fillId="3" borderId="2" xfId="0" applyFill="1" applyBorder="1"/>
    <xf numFmtId="0" fontId="0" fillId="3" borderId="3" xfId="0" applyFill="1" applyBorder="1"/>
    <xf numFmtId="0" fontId="10" fillId="3" borderId="0" xfId="0" applyFont="1" applyFill="1"/>
    <xf numFmtId="0" fontId="0" fillId="3" borderId="14" xfId="0" applyFill="1" applyBorder="1"/>
    <xf numFmtId="0" fontId="0" fillId="3" borderId="15" xfId="0" applyFill="1" applyBorder="1"/>
    <xf numFmtId="3" fontId="0" fillId="3" borderId="0" xfId="0" applyNumberFormat="1" applyFill="1"/>
    <xf numFmtId="3" fontId="1" fillId="3" borderId="24" xfId="0" applyNumberFormat="1" applyFont="1" applyFill="1" applyBorder="1"/>
    <xf numFmtId="0" fontId="1" fillId="3" borderId="24" xfId="0" applyFont="1" applyFill="1" applyBorder="1"/>
    <xf numFmtId="3" fontId="1" fillId="3" borderId="0" xfId="0" applyNumberFormat="1" applyFont="1" applyFill="1"/>
    <xf numFmtId="3" fontId="1" fillId="3" borderId="15" xfId="0" applyNumberFormat="1" applyFont="1" applyFill="1" applyBorder="1"/>
    <xf numFmtId="0" fontId="1" fillId="3" borderId="15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1" fillId="2" borderId="13" xfId="0" applyFont="1" applyFill="1" applyBorder="1" applyProtection="1">
      <protection locked="0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8" fillId="0" borderId="0" xfId="0" applyFont="1"/>
    <xf numFmtId="0" fontId="1" fillId="0" borderId="0" xfId="0" applyFont="1"/>
    <xf numFmtId="0" fontId="0" fillId="0" borderId="17" xfId="0" applyBorder="1"/>
    <xf numFmtId="0" fontId="0" fillId="0" borderId="15" xfId="0" applyBorder="1"/>
    <xf numFmtId="0" fontId="0" fillId="0" borderId="18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2" xfId="0" applyBorder="1"/>
    <xf numFmtId="0" fontId="0" fillId="0" borderId="23" xfId="0" applyBorder="1"/>
    <xf numFmtId="0" fontId="2" fillId="0" borderId="5" xfId="0" applyFont="1" applyBorder="1"/>
    <xf numFmtId="0" fontId="2" fillId="0" borderId="0" xfId="0" applyFont="1"/>
    <xf numFmtId="0" fontId="2" fillId="0" borderId="6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21" fillId="3" borderId="0" xfId="0" applyFont="1" applyFill="1" applyAlignment="1">
      <alignment horizontal="center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3" fontId="0" fillId="0" borderId="19" xfId="0" applyNumberFormat="1" applyBorder="1"/>
    <xf numFmtId="0" fontId="0" fillId="0" borderId="26" xfId="0" applyBorder="1" applyAlignment="1">
      <alignment horizontal="center"/>
    </xf>
    <xf numFmtId="0" fontId="0" fillId="0" borderId="1" xfId="0" applyBorder="1" applyAlignment="1">
      <alignment horizontal="center"/>
    </xf>
    <xf numFmtId="0" fontId="22" fillId="3" borderId="0" xfId="0" applyFont="1" applyFill="1"/>
    <xf numFmtId="0" fontId="0" fillId="0" borderId="26" xfId="0" applyBorder="1"/>
    <xf numFmtId="0" fontId="0" fillId="0" borderId="1" xfId="0" applyBorder="1"/>
    <xf numFmtId="0" fontId="23" fillId="3" borderId="15" xfId="0" applyFont="1" applyFill="1" applyBorder="1"/>
    <xf numFmtId="2" fontId="0" fillId="0" borderId="26" xfId="0" applyNumberFormat="1" applyBorder="1"/>
    <xf numFmtId="2" fontId="0" fillId="0" borderId="1" xfId="0" applyNumberFormat="1" applyBorder="1"/>
    <xf numFmtId="2" fontId="0" fillId="0" borderId="0" xfId="0" applyNumberFormat="1"/>
    <xf numFmtId="2" fontId="0" fillId="0" borderId="20" xfId="0" applyNumberFormat="1" applyBorder="1"/>
    <xf numFmtId="2" fontId="0" fillId="0" borderId="15" xfId="0" applyNumberFormat="1" applyBorder="1"/>
    <xf numFmtId="0" fontId="25" fillId="0" borderId="0" xfId="0" applyFont="1"/>
    <xf numFmtId="0" fontId="19" fillId="0" borderId="0" xfId="0" applyFont="1"/>
    <xf numFmtId="9" fontId="15" fillId="0" borderId="0" xfId="0" applyNumberFormat="1" applyFont="1"/>
    <xf numFmtId="165" fontId="24" fillId="0" borderId="0" xfId="1" applyNumberFormat="1" applyFont="1" applyProtection="1"/>
    <xf numFmtId="165" fontId="0" fillId="0" borderId="0" xfId="0" applyNumberFormat="1"/>
    <xf numFmtId="165" fontId="15" fillId="0" borderId="0" xfId="0" applyNumberFormat="1" applyFont="1"/>
    <xf numFmtId="0" fontId="20" fillId="0" borderId="0" xfId="0" applyFont="1"/>
    <xf numFmtId="0" fontId="5" fillId="0" borderId="0" xfId="0" applyFont="1"/>
    <xf numFmtId="0" fontId="6" fillId="0" borderId="0" xfId="0" applyFont="1"/>
    <xf numFmtId="165" fontId="25" fillId="0" borderId="0" xfId="1" applyNumberFormat="1" applyFont="1" applyProtection="1"/>
    <xf numFmtId="165" fontId="0" fillId="0" borderId="0" xfId="1" applyNumberFormat="1" applyFont="1" applyProtection="1"/>
    <xf numFmtId="165" fontId="6" fillId="0" borderId="0" xfId="0" applyNumberFormat="1" applyFont="1"/>
    <xf numFmtId="0" fontId="8" fillId="3" borderId="0" xfId="0" applyFont="1" applyFill="1"/>
    <xf numFmtId="0" fontId="23" fillId="3" borderId="0" xfId="0" applyFont="1" applyFill="1"/>
    <xf numFmtId="0" fontId="0" fillId="2" borderId="17" xfId="0" applyFill="1" applyBorder="1"/>
    <xf numFmtId="0" fontId="0" fillId="2" borderId="15" xfId="0" applyFill="1" applyBorder="1"/>
    <xf numFmtId="0" fontId="0" fillId="2" borderId="18" xfId="0" applyFill="1" applyBorder="1"/>
    <xf numFmtId="0" fontId="0" fillId="2" borderId="22" xfId="0" applyFill="1" applyBorder="1"/>
    <xf numFmtId="0" fontId="0" fillId="2" borderId="0" xfId="0" applyFill="1"/>
    <xf numFmtId="3" fontId="0" fillId="2" borderId="23" xfId="0" applyNumberFormat="1" applyFill="1" applyBorder="1"/>
    <xf numFmtId="0" fontId="0" fillId="2" borderId="19" xfId="0" applyFill="1" applyBorder="1"/>
    <xf numFmtId="0" fontId="0" fillId="2" borderId="20" xfId="0" applyFill="1" applyBorder="1"/>
    <xf numFmtId="3" fontId="0" fillId="4" borderId="21" xfId="0" applyNumberFormat="1" applyFill="1" applyBorder="1"/>
    <xf numFmtId="0" fontId="24" fillId="0" borderId="0" xfId="0" applyFont="1"/>
    <xf numFmtId="14" fontId="24" fillId="0" borderId="0" xfId="0" applyNumberFormat="1" applyFont="1"/>
    <xf numFmtId="49" fontId="24" fillId="0" borderId="0" xfId="0" applyNumberFormat="1" applyFont="1"/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1" fontId="17" fillId="3" borderId="30" xfId="0" applyNumberFormat="1" applyFont="1" applyFill="1" applyBorder="1" applyAlignment="1">
      <alignment horizontal="center"/>
    </xf>
    <xf numFmtId="1" fontId="17" fillId="3" borderId="31" xfId="0" applyNumberFormat="1" applyFont="1" applyFill="1" applyBorder="1" applyAlignment="1">
      <alignment horizontal="center"/>
    </xf>
    <xf numFmtId="1" fontId="17" fillId="3" borderId="32" xfId="0" applyNumberFormat="1" applyFont="1" applyFill="1" applyBorder="1" applyAlignment="1">
      <alignment horizontal="center"/>
    </xf>
    <xf numFmtId="0" fontId="21" fillId="3" borderId="0" xfId="0" applyFont="1" applyFill="1"/>
    <xf numFmtId="1" fontId="0" fillId="3" borderId="0" xfId="0" applyNumberFormat="1" applyFill="1"/>
    <xf numFmtId="0" fontId="0" fillId="3" borderId="0" xfId="0" applyFill="1" applyAlignment="1">
      <alignment horizontal="right"/>
    </xf>
    <xf numFmtId="0" fontId="0" fillId="6" borderId="33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6" borderId="35" xfId="0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7" borderId="0" xfId="0" applyFill="1"/>
    <xf numFmtId="0" fontId="0" fillId="7" borderId="1" xfId="0" applyFill="1" applyBorder="1"/>
    <xf numFmtId="0" fontId="0" fillId="7" borderId="17" xfId="0" applyFill="1" applyBorder="1"/>
    <xf numFmtId="0" fontId="0" fillId="7" borderId="15" xfId="0" applyFill="1" applyBorder="1"/>
    <xf numFmtId="0" fontId="0" fillId="7" borderId="18" xfId="0" applyFill="1" applyBorder="1"/>
    <xf numFmtId="0" fontId="0" fillId="7" borderId="22" xfId="0" applyFill="1" applyBorder="1"/>
    <xf numFmtId="0" fontId="0" fillId="7" borderId="23" xfId="0" applyFill="1" applyBorder="1"/>
    <xf numFmtId="0" fontId="0" fillId="7" borderId="19" xfId="0" applyFill="1" applyBorder="1"/>
    <xf numFmtId="0" fontId="0" fillId="7" borderId="20" xfId="0" applyFill="1" applyBorder="1"/>
    <xf numFmtId="0" fontId="0" fillId="7" borderId="21" xfId="0" applyFill="1" applyBorder="1"/>
    <xf numFmtId="0" fontId="0" fillId="7" borderId="25" xfId="0" applyFill="1" applyBorder="1"/>
    <xf numFmtId="0" fontId="0" fillId="7" borderId="28" xfId="0" applyFill="1" applyBorder="1"/>
    <xf numFmtId="0" fontId="0" fillId="7" borderId="28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/>
    <xf numFmtId="0" fontId="8" fillId="7" borderId="17" xfId="0" applyFont="1" applyFill="1" applyBorder="1"/>
    <xf numFmtId="2" fontId="0" fillId="7" borderId="0" xfId="0" applyNumberFormat="1" applyFill="1"/>
    <xf numFmtId="2" fontId="0" fillId="7" borderId="20" xfId="0" applyNumberFormat="1" applyFill="1" applyBorder="1"/>
    <xf numFmtId="0" fontId="0" fillId="7" borderId="25" xfId="0" applyFill="1" applyBorder="1" applyAlignment="1">
      <alignment horizontal="left"/>
    </xf>
    <xf numFmtId="0" fontId="0" fillId="7" borderId="26" xfId="0" applyFill="1" applyBorder="1" applyAlignment="1">
      <alignment horizontal="left"/>
    </xf>
    <xf numFmtId="0" fontId="0" fillId="4" borderId="37" xfId="0" applyFill="1" applyBorder="1"/>
    <xf numFmtId="0" fontId="0" fillId="4" borderId="38" xfId="0" applyFill="1" applyBorder="1"/>
    <xf numFmtId="0" fontId="0" fillId="4" borderId="39" xfId="0" applyFill="1" applyBorder="1"/>
    <xf numFmtId="0" fontId="0" fillId="4" borderId="40" xfId="0" applyFill="1" applyBorder="1"/>
    <xf numFmtId="0" fontId="0" fillId="4" borderId="41" xfId="0" applyFill="1" applyBorder="1"/>
    <xf numFmtId="0" fontId="0" fillId="4" borderId="42" xfId="0" applyFill="1" applyBorder="1"/>
    <xf numFmtId="0" fontId="0" fillId="4" borderId="43" xfId="0" applyFill="1" applyBorder="1"/>
    <xf numFmtId="0" fontId="0" fillId="4" borderId="44" xfId="0" applyFill="1" applyBorder="1"/>
    <xf numFmtId="0" fontId="0" fillId="4" borderId="0" xfId="0" applyFill="1"/>
    <xf numFmtId="0" fontId="0" fillId="8" borderId="0" xfId="0" applyFill="1"/>
    <xf numFmtId="0" fontId="1" fillId="2" borderId="36" xfId="0" applyFont="1" applyFill="1" applyBorder="1" applyAlignment="1" applyProtection="1">
      <alignment horizontal="center"/>
      <protection locked="0"/>
    </xf>
    <xf numFmtId="166" fontId="0" fillId="4" borderId="0" xfId="0" applyNumberFormat="1" applyFill="1"/>
    <xf numFmtId="2" fontId="0" fillId="4" borderId="0" xfId="0" applyNumberFormat="1" applyFill="1"/>
    <xf numFmtId="43" fontId="0" fillId="4" borderId="41" xfId="0" applyNumberFormat="1" applyFill="1" applyBorder="1"/>
    <xf numFmtId="166" fontId="0" fillId="4" borderId="43" xfId="0" applyNumberFormat="1" applyFill="1" applyBorder="1"/>
    <xf numFmtId="2" fontId="0" fillId="4" borderId="43" xfId="0" applyNumberFormat="1" applyFill="1" applyBorder="1"/>
    <xf numFmtId="43" fontId="0" fillId="4" borderId="44" xfId="0" applyNumberFormat="1" applyFill="1" applyBorder="1"/>
    <xf numFmtId="0" fontId="0" fillId="7" borderId="37" xfId="0" applyFill="1" applyBorder="1"/>
    <xf numFmtId="0" fontId="0" fillId="7" borderId="38" xfId="0" applyFill="1" applyBorder="1"/>
    <xf numFmtId="0" fontId="0" fillId="7" borderId="39" xfId="0" applyFill="1" applyBorder="1"/>
    <xf numFmtId="0" fontId="0" fillId="7" borderId="40" xfId="0" applyFill="1" applyBorder="1"/>
    <xf numFmtId="0" fontId="0" fillId="7" borderId="41" xfId="0" applyFill="1" applyBorder="1"/>
    <xf numFmtId="0" fontId="1" fillId="7" borderId="0" xfId="0" applyFont="1" applyFill="1"/>
    <xf numFmtId="0" fontId="1" fillId="7" borderId="40" xfId="0" applyFont="1" applyFill="1" applyBorder="1"/>
    <xf numFmtId="3" fontId="0" fillId="7" borderId="0" xfId="0" applyNumberFormat="1" applyFill="1"/>
    <xf numFmtId="0" fontId="1" fillId="7" borderId="42" xfId="0" applyFont="1" applyFill="1" applyBorder="1"/>
    <xf numFmtId="0" fontId="0" fillId="3" borderId="43" xfId="0" applyFill="1" applyBorder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left"/>
    </xf>
    <xf numFmtId="3" fontId="1" fillId="3" borderId="0" xfId="0" applyNumberFormat="1" applyFont="1" applyFill="1" applyAlignment="1">
      <alignment horizontal="center"/>
    </xf>
    <xf numFmtId="0" fontId="0" fillId="5" borderId="10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7" borderId="1" xfId="0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Sammenligning af varmekilder</a:t>
            </a:r>
          </a:p>
          <a:p>
            <a:pPr>
              <a:defRPr/>
            </a:pPr>
            <a:r>
              <a:rPr lang="da-DK"/>
              <a:t>Årlig udgift i kr.</a:t>
            </a:r>
          </a:p>
        </c:rich>
      </c:tx>
      <c:layout>
        <c:manualLayout>
          <c:xMode val="edge"/>
          <c:yMode val="edge"/>
          <c:x val="0.2165207786526684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777777777777776E-2"/>
          <c:y val="0.30069444444444443"/>
          <c:w val="0.93888888888888888"/>
          <c:h val="0.490632473024205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Formler!$B$52</c:f>
              <c:strCache>
                <c:ptCount val="1"/>
                <c:pt idx="0">
                  <c:v>Fjernvarme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Formler!$C$51:$E$51</c:f>
              <c:strCache>
                <c:ptCount val="2"/>
                <c:pt idx="1">
                  <c:v>Årlige udgifter</c:v>
                </c:pt>
              </c:strCache>
            </c:strRef>
          </c:cat>
          <c:val>
            <c:numRef>
              <c:f>Formler!$C$52:$E$52</c:f>
              <c:numCache>
                <c:formatCode>#,##0</c:formatCode>
                <c:ptCount val="3"/>
                <c:pt idx="1">
                  <c:v>19601.599999999999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A-4DB5-A3F1-542C619E328B}"/>
            </c:ext>
          </c:extLst>
        </c:ser>
        <c:ser>
          <c:idx val="1"/>
          <c:order val="1"/>
          <c:tx>
            <c:strRef>
              <c:f>Formler!$B$53</c:f>
              <c:strCache>
                <c:ptCount val="1"/>
                <c:pt idx="0">
                  <c:v>Gasfyr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Formler!$C$51:$E$51</c:f>
              <c:strCache>
                <c:ptCount val="2"/>
                <c:pt idx="1">
                  <c:v>Årlige udgifter</c:v>
                </c:pt>
              </c:strCache>
            </c:strRef>
          </c:cat>
          <c:val>
            <c:numRef>
              <c:f>Formler!$C$53:$E$53</c:f>
              <c:numCache>
                <c:formatCode>#,##0</c:formatCode>
                <c:ptCount val="3"/>
                <c:pt idx="1">
                  <c:v>24463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BA-4DB5-A3F1-542C619E328B}"/>
            </c:ext>
          </c:extLst>
        </c:ser>
        <c:ser>
          <c:idx val="3"/>
          <c:order val="3"/>
          <c:tx>
            <c:strRef>
              <c:f>Formler!$B$54</c:f>
              <c:strCache>
                <c:ptCount val="1"/>
                <c:pt idx="0">
                  <c:v>Varmepumpe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Formler!$C$51:$E$51</c:f>
              <c:strCache>
                <c:ptCount val="2"/>
                <c:pt idx="1">
                  <c:v>Årlige udgifter</c:v>
                </c:pt>
              </c:strCache>
            </c:strRef>
          </c:cat>
          <c:val>
            <c:numRef>
              <c:f>Formler!$C$54:$E$54</c:f>
              <c:numCache>
                <c:formatCode>#,##0</c:formatCode>
                <c:ptCount val="3"/>
                <c:pt idx="1">
                  <c:v>20125.986349206349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BA-4DB5-A3F1-542C619E328B}"/>
            </c:ext>
          </c:extLst>
        </c:ser>
        <c:ser>
          <c:idx val="4"/>
          <c:order val="4"/>
          <c:tx>
            <c:strRef>
              <c:f>Formler!$B$55</c:f>
              <c:strCache>
                <c:ptCount val="1"/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Formler!$C$51:$E$51</c:f>
              <c:strCache>
                <c:ptCount val="2"/>
                <c:pt idx="1">
                  <c:v>Årlige udgifter</c:v>
                </c:pt>
              </c:strCache>
            </c:strRef>
          </c:cat>
          <c:val>
            <c:numRef>
              <c:f>Formler!$C$55:$E$55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94BA-4DB5-A3F1-542C619E328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12439200"/>
        <c:axId val="161243628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Formler!#REF!</c15:sqref>
                        </c15:formulaRef>
                      </c:ext>
                    </c:extLst>
                    <c:strCache>
                      <c:ptCount val="1"/>
                      <c:pt idx="0">
                        <c:v>#REFERENCE!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Formler!$C$51:$E$51</c15:sqref>
                        </c15:formulaRef>
                      </c:ext>
                    </c:extLst>
                    <c:strCache>
                      <c:ptCount val="2"/>
                      <c:pt idx="1">
                        <c:v>Årlige udgifter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Formler!#REF!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94BA-4DB5-A3F1-542C619E328B}"/>
                  </c:ext>
                </c:extLst>
              </c15:ser>
            </c15:filteredBarSeries>
          </c:ext>
        </c:extLst>
      </c:barChart>
      <c:catAx>
        <c:axId val="161243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436288"/>
        <c:crosses val="autoZero"/>
        <c:auto val="1"/>
        <c:lblAlgn val="ctr"/>
        <c:lblOffset val="100"/>
        <c:noMultiLvlLbl val="0"/>
      </c:catAx>
      <c:valAx>
        <c:axId val="16124362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61243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Formler!$D$51</c:f>
              <c:strCache>
                <c:ptCount val="1"/>
                <c:pt idx="0">
                  <c:v>Årlige udgifter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Formler!$B$52:$C$54</c:f>
              <c:multiLvlStrCache>
                <c:ptCount val="3"/>
                <c:lvl/>
                <c:lvl>
                  <c:pt idx="0">
                    <c:v>Fjernvarme</c:v>
                  </c:pt>
                  <c:pt idx="1">
                    <c:v>Gasfyr</c:v>
                  </c:pt>
                  <c:pt idx="2">
                    <c:v>Varmepumpe</c:v>
                  </c:pt>
                </c:lvl>
              </c:multiLvlStrCache>
            </c:multiLvlStrRef>
          </c:cat>
          <c:val>
            <c:numRef>
              <c:f>Formler!$D$52:$D$54</c:f>
              <c:numCache>
                <c:formatCode>#,##0</c:formatCode>
                <c:ptCount val="3"/>
                <c:pt idx="0">
                  <c:v>19601.599999999999</c:v>
                </c:pt>
                <c:pt idx="1">
                  <c:v>24463</c:v>
                </c:pt>
                <c:pt idx="2">
                  <c:v>20125.986349206349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1-40B9-AABC-ADBB0C8DF89C}"/>
            </c:ext>
          </c:extLst>
        </c:ser>
        <c:ser>
          <c:idx val="1"/>
          <c:order val="1"/>
          <c:tx>
            <c:strRef>
              <c:f>Formler!$E$51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Formler!$B$52:$C$54</c:f>
              <c:multiLvlStrCache>
                <c:ptCount val="3"/>
                <c:lvl/>
                <c:lvl>
                  <c:pt idx="0">
                    <c:v>Fjernvarme</c:v>
                  </c:pt>
                  <c:pt idx="1">
                    <c:v>Gasfyr</c:v>
                  </c:pt>
                  <c:pt idx="2">
                    <c:v>Varmepumpe</c:v>
                  </c:pt>
                </c:lvl>
              </c:multiLvlStrCache>
            </c:multiLvlStrRef>
          </c:cat>
          <c:val>
            <c:numRef>
              <c:f>Formler!$E$52:$E$54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11-40B9-AABC-ADBB0C8DF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156496"/>
        <c:axId val="1552158992"/>
      </c:barChart>
      <c:catAx>
        <c:axId val="155215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58992"/>
        <c:crosses val="autoZero"/>
        <c:auto val="1"/>
        <c:lblAlgn val="ctr"/>
        <c:lblOffset val="100"/>
        <c:noMultiLvlLbl val="0"/>
      </c:catAx>
      <c:valAx>
        <c:axId val="155215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15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Sammenligning af varmekilder</a:t>
            </a:r>
          </a:p>
          <a:p>
            <a:pPr>
              <a:defRPr/>
            </a:pPr>
            <a:r>
              <a:rPr lang="da-DK"/>
              <a:t>Årlig udgift i kr.</a:t>
            </a:r>
          </a:p>
        </c:rich>
      </c:tx>
      <c:layout>
        <c:manualLayout>
          <c:xMode val="edge"/>
          <c:yMode val="edge"/>
          <c:x val="0.2165207786526684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777777777777776E-2"/>
          <c:y val="0.30069444444444443"/>
          <c:w val="0.93888888888888888"/>
          <c:h val="0.490632473024205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Formler!$B$52</c:f>
              <c:strCache>
                <c:ptCount val="1"/>
                <c:pt idx="0">
                  <c:v>Fjernvarme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Formler!$C$51:$E$51</c:f>
              <c:strCache>
                <c:ptCount val="2"/>
                <c:pt idx="1">
                  <c:v>Årlige udgifter</c:v>
                </c:pt>
              </c:strCache>
            </c:strRef>
          </c:cat>
          <c:val>
            <c:numRef>
              <c:f>Formler!$C$52:$E$52</c:f>
              <c:numCache>
                <c:formatCode>#,##0</c:formatCode>
                <c:ptCount val="3"/>
                <c:pt idx="1">
                  <c:v>19601.599999999999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B-4DC5-B885-BAF83962C383}"/>
            </c:ext>
          </c:extLst>
        </c:ser>
        <c:ser>
          <c:idx val="1"/>
          <c:order val="1"/>
          <c:tx>
            <c:strRef>
              <c:f>Formler!$B$53</c:f>
              <c:strCache>
                <c:ptCount val="1"/>
                <c:pt idx="0">
                  <c:v>Gasfyr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Formler!$C$51:$E$51</c:f>
              <c:strCache>
                <c:ptCount val="2"/>
                <c:pt idx="1">
                  <c:v>Årlige udgifter</c:v>
                </c:pt>
              </c:strCache>
            </c:strRef>
          </c:cat>
          <c:val>
            <c:numRef>
              <c:f>Formler!$C$53:$E$53</c:f>
              <c:numCache>
                <c:formatCode>#,##0</c:formatCode>
                <c:ptCount val="3"/>
                <c:pt idx="1">
                  <c:v>24463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8B-4DC5-B885-BAF83962C383}"/>
            </c:ext>
          </c:extLst>
        </c:ser>
        <c:ser>
          <c:idx val="3"/>
          <c:order val="3"/>
          <c:tx>
            <c:strRef>
              <c:f>Formler!$B$54</c:f>
              <c:strCache>
                <c:ptCount val="1"/>
                <c:pt idx="0">
                  <c:v>Varmepumpe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Formler!$C$51:$E$51</c:f>
              <c:strCache>
                <c:ptCount val="2"/>
                <c:pt idx="1">
                  <c:v>Årlige udgifter</c:v>
                </c:pt>
              </c:strCache>
            </c:strRef>
          </c:cat>
          <c:val>
            <c:numRef>
              <c:f>Formler!$C$54:$E$54</c:f>
              <c:numCache>
                <c:formatCode>#,##0</c:formatCode>
                <c:ptCount val="3"/>
                <c:pt idx="1">
                  <c:v>20125.986349206349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FF-4A0C-8C34-32732691E182}"/>
            </c:ext>
          </c:extLst>
        </c:ser>
        <c:ser>
          <c:idx val="4"/>
          <c:order val="4"/>
          <c:tx>
            <c:strRef>
              <c:f>Formler!$B$55</c:f>
              <c:strCache>
                <c:ptCount val="1"/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Formler!$C$51:$E$51</c:f>
              <c:strCache>
                <c:ptCount val="2"/>
                <c:pt idx="1">
                  <c:v>Årlige udgifter</c:v>
                </c:pt>
              </c:strCache>
            </c:strRef>
          </c:cat>
          <c:val>
            <c:numRef>
              <c:f>Formler!$C$55:$E$55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65FF-4A0C-8C34-32732691E18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12439200"/>
        <c:axId val="161243628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Formler!#REF!</c15:sqref>
                        </c15:formulaRef>
                      </c:ext>
                    </c:extLst>
                    <c:strCache>
                      <c:ptCount val="1"/>
                      <c:pt idx="0">
                        <c:v>#REFERENCE!</c:v>
                      </c:pt>
                    </c:strCache>
                  </c:strRef>
                </c:tx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Formler!$C$51:$E$51</c15:sqref>
                        </c15:formulaRef>
                      </c:ext>
                    </c:extLst>
                    <c:strCache>
                      <c:ptCount val="2"/>
                      <c:pt idx="1">
                        <c:v>Årlige udgifter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Formler!#REF!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38B-4DC5-B885-BAF83962C383}"/>
                  </c:ext>
                </c:extLst>
              </c15:ser>
            </c15:filteredBarSeries>
          </c:ext>
        </c:extLst>
      </c:barChart>
      <c:catAx>
        <c:axId val="161243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436288"/>
        <c:crosses val="autoZero"/>
        <c:auto val="1"/>
        <c:lblAlgn val="ctr"/>
        <c:lblOffset val="100"/>
        <c:noMultiLvlLbl val="0"/>
      </c:catAx>
      <c:valAx>
        <c:axId val="16124362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61243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Akkumuleret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Fjernvarme</c:v>
          </c:tx>
          <c:marker>
            <c:symbol val="none"/>
          </c:marker>
          <c:cat>
            <c:numLit>
              <c:formatCode>General</c:formatCode>
              <c:ptCount val="26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pt idx="5">
                <c:v>2022</c:v>
              </c:pt>
              <c:pt idx="6">
                <c:v>2023</c:v>
              </c:pt>
              <c:pt idx="7">
                <c:v>2024</c:v>
              </c:pt>
              <c:pt idx="8">
                <c:v>2025</c:v>
              </c:pt>
              <c:pt idx="9">
                <c:v>2026</c:v>
              </c:pt>
              <c:pt idx="10">
                <c:v>2027</c:v>
              </c:pt>
              <c:pt idx="11">
                <c:v>2028</c:v>
              </c:pt>
              <c:pt idx="12">
                <c:v>2029</c:v>
              </c:pt>
              <c:pt idx="13">
                <c:v>2030</c:v>
              </c:pt>
              <c:pt idx="14">
                <c:v>2031</c:v>
              </c:pt>
              <c:pt idx="15">
                <c:v>2032</c:v>
              </c:pt>
              <c:pt idx="16">
                <c:v>2033</c:v>
              </c:pt>
              <c:pt idx="17">
                <c:v>2034</c:v>
              </c:pt>
              <c:pt idx="18">
                <c:v>2035</c:v>
              </c:pt>
              <c:pt idx="19">
                <c:v>2036</c:v>
              </c:pt>
              <c:pt idx="20">
                <c:v>2037</c:v>
              </c:pt>
              <c:pt idx="21">
                <c:v>2038</c:v>
              </c:pt>
              <c:pt idx="22">
                <c:v>2039</c:v>
              </c:pt>
              <c:pt idx="23">
                <c:v>2040</c:v>
              </c:pt>
              <c:pt idx="24">
                <c:v>2041</c:v>
              </c:pt>
              <c:pt idx="25">
                <c:v>2042</c:v>
              </c:pt>
            </c:numLit>
          </c:cat>
          <c:val>
            <c:numRef>
              <c:f>'Skal skjules'!$O$6:$AN$6</c:f>
              <c:numCache>
                <c:formatCode>_ * #,##0_ ;_ * \-#,##0_ ;_ * "-"??_ ;_ @_ </c:formatCode>
                <c:ptCount val="26"/>
                <c:pt idx="0">
                  <c:v>19601.599999999999</c:v>
                </c:pt>
                <c:pt idx="1">
                  <c:v>39379.614399999999</c:v>
                </c:pt>
                <c:pt idx="2">
                  <c:v>59337.571487999994</c:v>
                </c:pt>
                <c:pt idx="3">
                  <c:v>79479.070117759984</c:v>
                </c:pt>
                <c:pt idx="4">
                  <c:v>99807.781120115178</c:v>
                </c:pt>
                <c:pt idx="5">
                  <c:v>120327.44874251747</c:v>
                </c:pt>
                <c:pt idx="6">
                  <c:v>141041.89211736782</c:v>
                </c:pt>
                <c:pt idx="7">
                  <c:v>161955.00675971518</c:v>
                </c:pt>
                <c:pt idx="8">
                  <c:v>183070.76609490949</c:v>
                </c:pt>
                <c:pt idx="9">
                  <c:v>204393.22301680766</c:v>
                </c:pt>
                <c:pt idx="10">
                  <c:v>225926.51147714382</c:v>
                </c:pt>
                <c:pt idx="11">
                  <c:v>247674.8481066867</c:v>
                </c:pt>
                <c:pt idx="12">
                  <c:v>269642.53386882041</c:v>
                </c:pt>
                <c:pt idx="13">
                  <c:v>291833.95574619679</c:v>
                </c:pt>
                <c:pt idx="14">
                  <c:v>314253.58846112073</c:v>
                </c:pt>
                <c:pt idx="15">
                  <c:v>336905.99623034312</c:v>
                </c:pt>
                <c:pt idx="16">
                  <c:v>359795.83455495001</c:v>
                </c:pt>
                <c:pt idx="17">
                  <c:v>382927.85204604903</c:v>
                </c:pt>
                <c:pt idx="18">
                  <c:v>406306.89228696999</c:v>
                </c:pt>
                <c:pt idx="19">
                  <c:v>429937.89573270938</c:v>
                </c:pt>
                <c:pt idx="20">
                  <c:v>453825.90164736356</c:v>
                </c:pt>
                <c:pt idx="21">
                  <c:v>477976.05008031084</c:v>
                </c:pt>
                <c:pt idx="22">
                  <c:v>502393.58388191706</c:v>
                </c:pt>
                <c:pt idx="23">
                  <c:v>527083.85075955535</c:v>
                </c:pt>
                <c:pt idx="24">
                  <c:v>552052.30537474644</c:v>
                </c:pt>
                <c:pt idx="25">
                  <c:v>577304.51148224133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7-4D79-ABC6-2BF47D750F39}"/>
            </c:ext>
          </c:extLst>
        </c:ser>
        <c:ser>
          <c:idx val="1"/>
          <c:order val="1"/>
          <c:tx>
            <c:v>Nuværende</c:v>
          </c:tx>
          <c:marker>
            <c:symbol val="none"/>
          </c:marker>
          <c:cat>
            <c:numLit>
              <c:formatCode>General</c:formatCode>
              <c:ptCount val="26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pt idx="5">
                <c:v>2022</c:v>
              </c:pt>
              <c:pt idx="6">
                <c:v>2023</c:v>
              </c:pt>
              <c:pt idx="7">
                <c:v>2024</c:v>
              </c:pt>
              <c:pt idx="8">
                <c:v>2025</c:v>
              </c:pt>
              <c:pt idx="9">
                <c:v>2026</c:v>
              </c:pt>
              <c:pt idx="10">
                <c:v>2027</c:v>
              </c:pt>
              <c:pt idx="11">
                <c:v>2028</c:v>
              </c:pt>
              <c:pt idx="12">
                <c:v>2029</c:v>
              </c:pt>
              <c:pt idx="13">
                <c:v>2030</c:v>
              </c:pt>
              <c:pt idx="14">
                <c:v>2031</c:v>
              </c:pt>
              <c:pt idx="15">
                <c:v>2032</c:v>
              </c:pt>
              <c:pt idx="16">
                <c:v>2033</c:v>
              </c:pt>
              <c:pt idx="17">
                <c:v>2034</c:v>
              </c:pt>
              <c:pt idx="18">
                <c:v>2035</c:v>
              </c:pt>
              <c:pt idx="19">
                <c:v>2036</c:v>
              </c:pt>
              <c:pt idx="20">
                <c:v>2037</c:v>
              </c:pt>
              <c:pt idx="21">
                <c:v>2038</c:v>
              </c:pt>
              <c:pt idx="22">
                <c:v>2039</c:v>
              </c:pt>
              <c:pt idx="23">
                <c:v>2040</c:v>
              </c:pt>
              <c:pt idx="24">
                <c:v>2041</c:v>
              </c:pt>
              <c:pt idx="25">
                <c:v>2042</c:v>
              </c:pt>
            </c:numLit>
          </c:cat>
          <c:val>
            <c:numRef>
              <c:f>'Skal skjules'!$O$12:$AN$12</c:f>
              <c:numCache>
                <c:formatCode>_ * #,##0_ ;_ * \-#,##0_ ;_ * "-"??_ ;_ @_ </c:formatCode>
                <c:ptCount val="26"/>
                <c:pt idx="0">
                  <c:v>22463</c:v>
                </c:pt>
                <c:pt idx="1">
                  <c:v>45375.259999999995</c:v>
                </c:pt>
                <c:pt idx="2">
                  <c:v>68745.765199999994</c:v>
                </c:pt>
                <c:pt idx="3">
                  <c:v>92583.680503999989</c:v>
                </c:pt>
                <c:pt idx="4">
                  <c:v>116898.35411407999</c:v>
                </c:pt>
                <c:pt idx="5">
                  <c:v>141699.32119636159</c:v>
                </c:pt>
                <c:pt idx="6">
                  <c:v>166996.3076202888</c:v>
                </c:pt>
                <c:pt idx="7">
                  <c:v>192799.23377269457</c:v>
                </c:pt>
                <c:pt idx="8">
                  <c:v>219118.21844814846</c:v>
                </c:pt>
                <c:pt idx="9">
                  <c:v>245963.58281711143</c:v>
                </c:pt>
                <c:pt idx="10">
                  <c:v>273345.85447345366</c:v>
                </c:pt>
                <c:pt idx="11">
                  <c:v>301275.77156292275</c:v>
                </c:pt>
                <c:pt idx="12">
                  <c:v>329764.28699418122</c:v>
                </c:pt>
                <c:pt idx="13">
                  <c:v>358822.57273406483</c:v>
                </c:pt>
                <c:pt idx="14">
                  <c:v>423462.02418874612</c:v>
                </c:pt>
                <c:pt idx="15">
                  <c:v>453694.26467252104</c:v>
                </c:pt>
                <c:pt idx="16">
                  <c:v>484531.14996597148</c:v>
                </c:pt>
                <c:pt idx="17">
                  <c:v>515984.77296529087</c:v>
                </c:pt>
                <c:pt idx="18">
                  <c:v>548067.46842459671</c:v>
                </c:pt>
                <c:pt idx="19">
                  <c:v>580791.81779308862</c:v>
                </c:pt>
                <c:pt idx="20">
                  <c:v>614170.65414895036</c:v>
                </c:pt>
                <c:pt idx="21">
                  <c:v>648217.0672319294</c:v>
                </c:pt>
                <c:pt idx="22">
                  <c:v>682944.40857656801</c:v>
                </c:pt>
                <c:pt idx="23">
                  <c:v>718366.29674809938</c:v>
                </c:pt>
                <c:pt idx="24">
                  <c:v>754496.6226830614</c:v>
                </c:pt>
                <c:pt idx="25">
                  <c:v>791349.55513672263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7-4D79-ABC6-2BF47D750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45088"/>
        <c:axId val="74645888"/>
      </c:lineChart>
      <c:catAx>
        <c:axId val="7434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645888"/>
        <c:crosses val="autoZero"/>
        <c:auto val="1"/>
        <c:lblAlgn val="ctr"/>
        <c:lblOffset val="100"/>
        <c:noMultiLvlLbl val="0"/>
      </c:catAx>
      <c:valAx>
        <c:axId val="7464588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74345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Årlige udgifter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Fjernvarme</c:v>
          </c:tx>
          <c:invertIfNegative val="0"/>
          <c:cat>
            <c:numLit>
              <c:formatCode>General</c:formatCode>
              <c:ptCount val="26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pt idx="5">
                <c:v>2022</c:v>
              </c:pt>
              <c:pt idx="6">
                <c:v>2023</c:v>
              </c:pt>
              <c:pt idx="7">
                <c:v>2024</c:v>
              </c:pt>
              <c:pt idx="8">
                <c:v>2025</c:v>
              </c:pt>
              <c:pt idx="9">
                <c:v>2026</c:v>
              </c:pt>
              <c:pt idx="10">
                <c:v>2027</c:v>
              </c:pt>
              <c:pt idx="11">
                <c:v>2028</c:v>
              </c:pt>
              <c:pt idx="12">
                <c:v>2029</c:v>
              </c:pt>
              <c:pt idx="13">
                <c:v>2030</c:v>
              </c:pt>
              <c:pt idx="14">
                <c:v>2031</c:v>
              </c:pt>
              <c:pt idx="15">
                <c:v>2032</c:v>
              </c:pt>
              <c:pt idx="16">
                <c:v>2033</c:v>
              </c:pt>
              <c:pt idx="17">
                <c:v>2034</c:v>
              </c:pt>
              <c:pt idx="18">
                <c:v>2035</c:v>
              </c:pt>
              <c:pt idx="19">
                <c:v>2036</c:v>
              </c:pt>
              <c:pt idx="20">
                <c:v>2037</c:v>
              </c:pt>
              <c:pt idx="21">
                <c:v>2038</c:v>
              </c:pt>
              <c:pt idx="22">
                <c:v>2039</c:v>
              </c:pt>
              <c:pt idx="23">
                <c:v>2040</c:v>
              </c:pt>
              <c:pt idx="24">
                <c:v>2041</c:v>
              </c:pt>
              <c:pt idx="25">
                <c:v>2042</c:v>
              </c:pt>
            </c:numLit>
          </c:cat>
          <c:val>
            <c:numRef>
              <c:f>'Skal skjules'!$O$5:$AN$5</c:f>
              <c:numCache>
                <c:formatCode>_ * #,##0_ ;_ * \-#,##0_ ;_ * "-"??_ ;_ @_ </c:formatCode>
                <c:ptCount val="26"/>
                <c:pt idx="0">
                  <c:v>19601.599999999999</c:v>
                </c:pt>
                <c:pt idx="1">
                  <c:v>19778.0144</c:v>
                </c:pt>
                <c:pt idx="2">
                  <c:v>19957.957087999996</c:v>
                </c:pt>
                <c:pt idx="3">
                  <c:v>20141.498629759997</c:v>
                </c:pt>
                <c:pt idx="4">
                  <c:v>20328.711002355198</c:v>
                </c:pt>
                <c:pt idx="5">
                  <c:v>20519.667622402303</c:v>
                </c:pt>
                <c:pt idx="6">
                  <c:v>20714.443374850347</c:v>
                </c:pt>
                <c:pt idx="7">
                  <c:v>20913.114642347355</c:v>
                </c:pt>
                <c:pt idx="8">
                  <c:v>21115.7593351943</c:v>
                </c:pt>
                <c:pt idx="9">
                  <c:v>21322.456921898185</c:v>
                </c:pt>
                <c:pt idx="10">
                  <c:v>21533.288460336153</c:v>
                </c:pt>
                <c:pt idx="11">
                  <c:v>21748.336629542871</c:v>
                </c:pt>
                <c:pt idx="12">
                  <c:v>21967.685762133733</c:v>
                </c:pt>
                <c:pt idx="13">
                  <c:v>22191.421877376408</c:v>
                </c:pt>
                <c:pt idx="14">
                  <c:v>22419.632714923933</c:v>
                </c:pt>
                <c:pt idx="15">
                  <c:v>22652.407769222413</c:v>
                </c:pt>
                <c:pt idx="16">
                  <c:v>22889.838324606862</c:v>
                </c:pt>
                <c:pt idx="17">
                  <c:v>23132.017491098995</c:v>
                </c:pt>
                <c:pt idx="18">
                  <c:v>23379.040240920978</c:v>
                </c:pt>
                <c:pt idx="19">
                  <c:v>23631.003445739396</c:v>
                </c:pt>
                <c:pt idx="20">
                  <c:v>23888.005914654183</c:v>
                </c:pt>
                <c:pt idx="21">
                  <c:v>24150.148432947266</c:v>
                </c:pt>
                <c:pt idx="22">
                  <c:v>24417.533801606212</c:v>
                </c:pt>
                <c:pt idx="23">
                  <c:v>24690.266877638336</c:v>
                </c:pt>
                <c:pt idx="24">
                  <c:v>24968.454615191105</c:v>
                </c:pt>
                <c:pt idx="25">
                  <c:v>25252.206107494923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6-427F-A51F-4F51BF2E6273}"/>
            </c:ext>
          </c:extLst>
        </c:ser>
        <c:ser>
          <c:idx val="1"/>
          <c:order val="1"/>
          <c:tx>
            <c:v>Nuværende</c:v>
          </c:tx>
          <c:invertIfNegative val="0"/>
          <c:val>
            <c:numRef>
              <c:f>'Skal skjules'!$O$11:$AN$11</c:f>
              <c:numCache>
                <c:formatCode>_ * #,##0_ ;_ * \-#,##0_ ;_ * "-"??_ ;_ @_ </c:formatCode>
                <c:ptCount val="26"/>
                <c:pt idx="0">
                  <c:v>22463</c:v>
                </c:pt>
                <c:pt idx="1">
                  <c:v>22912.26</c:v>
                </c:pt>
                <c:pt idx="2">
                  <c:v>23370.5052</c:v>
                </c:pt>
                <c:pt idx="3">
                  <c:v>23837.915303999998</c:v>
                </c:pt>
                <c:pt idx="4">
                  <c:v>24314.673610079997</c:v>
                </c:pt>
                <c:pt idx="5">
                  <c:v>24800.967082281597</c:v>
                </c:pt>
                <c:pt idx="6">
                  <c:v>25296.986423927228</c:v>
                </c:pt>
                <c:pt idx="7">
                  <c:v>25802.926152405773</c:v>
                </c:pt>
                <c:pt idx="8">
                  <c:v>26318.984675453888</c:v>
                </c:pt>
                <c:pt idx="9">
                  <c:v>26845.364368962968</c:v>
                </c:pt>
                <c:pt idx="10">
                  <c:v>27382.271656342229</c:v>
                </c:pt>
                <c:pt idx="11">
                  <c:v>27929.917089469072</c:v>
                </c:pt>
                <c:pt idx="12">
                  <c:v>28488.515431258453</c:v>
                </c:pt>
                <c:pt idx="13">
                  <c:v>29058.28573988362</c:v>
                </c:pt>
                <c:pt idx="14">
                  <c:v>64639.451454681293</c:v>
                </c:pt>
                <c:pt idx="15">
                  <c:v>30232.24048377492</c:v>
                </c:pt>
                <c:pt idx="16">
                  <c:v>30836.885293450418</c:v>
                </c:pt>
                <c:pt idx="17">
                  <c:v>31453.622999319425</c:v>
                </c:pt>
                <c:pt idx="18">
                  <c:v>32082.695459305814</c:v>
                </c:pt>
                <c:pt idx="19">
                  <c:v>32724.34936849193</c:v>
                </c:pt>
                <c:pt idx="20">
                  <c:v>33378.836355861771</c:v>
                </c:pt>
                <c:pt idx="21">
                  <c:v>34046.413082979008</c:v>
                </c:pt>
                <c:pt idx="22">
                  <c:v>34727.341344638589</c:v>
                </c:pt>
                <c:pt idx="23">
                  <c:v>35421.888171531362</c:v>
                </c:pt>
                <c:pt idx="24">
                  <c:v>36130.325934961991</c:v>
                </c:pt>
                <c:pt idx="25">
                  <c:v>36852.932453661233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6-427F-A51F-4F51BF2E6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672000"/>
        <c:axId val="74673536"/>
      </c:barChart>
      <c:catAx>
        <c:axId val="7467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74673536"/>
        <c:crosses val="autoZero"/>
        <c:auto val="1"/>
        <c:lblAlgn val="ctr"/>
        <c:lblOffset val="100"/>
        <c:noMultiLvlLbl val="0"/>
      </c:catAx>
      <c:valAx>
        <c:axId val="74673536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none"/>
        <c:minorTickMark val="none"/>
        <c:tickLblPos val="nextTo"/>
        <c:crossAx val="74672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110938</xdr:colOff>
      <xdr:row>0</xdr:row>
      <xdr:rowOff>89834</xdr:rowOff>
    </xdr:from>
    <xdr:to>
      <xdr:col>6</xdr:col>
      <xdr:colOff>387163</xdr:colOff>
      <xdr:row>0</xdr:row>
      <xdr:rowOff>832784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938" y="89834"/>
          <a:ext cx="3802343" cy="74295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</xdr:pic>
    <xdr:clientData/>
  </xdr:twoCellAnchor>
  <xdr:twoCellAnchor>
    <xdr:from>
      <xdr:col>7</xdr:col>
      <xdr:colOff>161926</xdr:colOff>
      <xdr:row>0</xdr:row>
      <xdr:rowOff>19050</xdr:rowOff>
    </xdr:from>
    <xdr:to>
      <xdr:col>11</xdr:col>
      <xdr:colOff>123826</xdr:colOff>
      <xdr:row>0</xdr:row>
      <xdr:rowOff>638175</xdr:rowOff>
    </xdr:to>
    <xdr:sp macro="" textlink="">
      <xdr:nvSpPr>
        <xdr:cNvPr id="6" name="Tekstboks 5">
          <a:extLst>
            <a:ext uri="{FF2B5EF4-FFF2-40B4-BE49-F238E27FC236}">
              <a16:creationId xmlns:a16="http://schemas.microsoft.com/office/drawing/2014/main" id="{00000000-0008-0000-0000-000006000000}"/>
            </a:ext>
            <a:ext uri="{147F2762-F138-4A5C-976F-8EAC2B608ADB}">
              <a16:predDERef xmlns:a16="http://schemas.microsoft.com/office/drawing/2014/main" pred="{00000000-0008-0000-0000-000005000000}"/>
            </a:ext>
          </a:extLst>
        </xdr:cNvPr>
        <xdr:cNvSpPr txBox="1"/>
      </xdr:nvSpPr>
      <xdr:spPr>
        <a:xfrm>
          <a:off x="4219576" y="19050"/>
          <a:ext cx="2552700" cy="61912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indent="0"/>
          <a:r>
            <a:rPr lang="en-US" sz="2400" b="1">
              <a:solidFill>
                <a:schemeClr val="dk1"/>
              </a:solidFill>
              <a:latin typeface="+mn-lt"/>
              <a:ea typeface="+mn-lt"/>
              <a:cs typeface="+mn-lt"/>
            </a:rPr>
            <a:t>VARMEBEREGNER</a:t>
          </a:r>
        </a:p>
      </xdr:txBody>
    </xdr:sp>
    <xdr:clientData/>
  </xdr:twoCellAnchor>
  <xdr:twoCellAnchor>
    <xdr:from>
      <xdr:col>7</xdr:col>
      <xdr:colOff>171450</xdr:colOff>
      <xdr:row>0</xdr:row>
      <xdr:rowOff>600075</xdr:rowOff>
    </xdr:from>
    <xdr:to>
      <xdr:col>11</xdr:col>
      <xdr:colOff>123825</xdr:colOff>
      <xdr:row>0</xdr:row>
      <xdr:rowOff>847725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31A71B6B-9012-453F-954C-871140493C71}"/>
            </a:ext>
            <a:ext uri="{147F2762-F138-4A5C-976F-8EAC2B608ADB}">
              <a16:predDERef xmlns:a16="http://schemas.microsoft.com/office/drawing/2014/main" pred="{D1C8A716-DBEA-4CFA-B44F-3051D526CA87}"/>
            </a:ext>
          </a:extLst>
        </xdr:cNvPr>
        <xdr:cNvSpPr txBox="1"/>
      </xdr:nvSpPr>
      <xdr:spPr>
        <a:xfrm>
          <a:off x="4229100" y="600075"/>
          <a:ext cx="2543175" cy="24765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en-US" sz="1600" b="1">
              <a:solidFill>
                <a:schemeClr val="dk1"/>
              </a:solidFill>
              <a:latin typeface="+mn-lt"/>
              <a:ea typeface="+mn-lt"/>
              <a:cs typeface="+mn-lt"/>
            </a:rPr>
            <a:t>Fast bidrag i.h.t. boligreal</a:t>
          </a:r>
        </a:p>
      </xdr:txBody>
    </xdr:sp>
    <xdr:clientData/>
  </xdr:twoCellAnchor>
  <xdr:twoCellAnchor>
    <xdr:from>
      <xdr:col>0</xdr:col>
      <xdr:colOff>38100</xdr:colOff>
      <xdr:row>48</xdr:row>
      <xdr:rowOff>47625</xdr:rowOff>
    </xdr:from>
    <xdr:to>
      <xdr:col>11</xdr:col>
      <xdr:colOff>342900</xdr:colOff>
      <xdr:row>60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CDD2EC7-6531-4BB9-99F8-CABB548E11F0}"/>
            </a:ext>
            <a:ext uri="{147F2762-F138-4A5C-976F-8EAC2B608ADB}">
              <a16:predDERef xmlns:a16="http://schemas.microsoft.com/office/drawing/2014/main" pred="{31A71B6B-9012-453F-954C-871140493C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592455</xdr:colOff>
      <xdr:row>57</xdr:row>
      <xdr:rowOff>148590</xdr:rowOff>
    </xdr:from>
    <xdr:to>
      <xdr:col>15</xdr:col>
      <xdr:colOff>36195</xdr:colOff>
      <xdr:row>73</xdr:row>
      <xdr:rowOff>47625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AAE1B8F-F09B-622F-4370-5673902190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581025</xdr:colOff>
      <xdr:row>35</xdr:row>
      <xdr:rowOff>85725</xdr:rowOff>
    </xdr:from>
    <xdr:to>
      <xdr:col>15</xdr:col>
      <xdr:colOff>400050</xdr:colOff>
      <xdr:row>47</xdr:row>
      <xdr:rowOff>152400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2758EAA-8BDF-A302-0862-78F8CFCF65B8}"/>
            </a:ext>
            <a:ext uri="{147F2762-F138-4A5C-976F-8EAC2B608ADB}">
              <a16:predDERef xmlns:a16="http://schemas.microsoft.com/office/drawing/2014/main" pred="{CAAE1B8F-F09B-622F-4370-5673902190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70246</xdr:rowOff>
    </xdr:from>
    <xdr:to>
      <xdr:col>14</xdr:col>
      <xdr:colOff>807244</xdr:colOff>
      <xdr:row>26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84533</xdr:colOff>
      <xdr:row>0</xdr:row>
      <xdr:rowOff>0</xdr:rowOff>
    </xdr:from>
    <xdr:to>
      <xdr:col>28</xdr:col>
      <xdr:colOff>414337</xdr:colOff>
      <xdr:row>26</xdr:row>
      <xdr:rowOff>127397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topLeftCell="A6" zoomScaleNormal="100" workbookViewId="0">
      <selection activeCell="O15" sqref="O15"/>
    </sheetView>
  </sheetViews>
  <sheetFormatPr defaultColWidth="9.140625" defaultRowHeight="14.45"/>
  <cols>
    <col min="1" max="1" width="5.7109375" customWidth="1"/>
    <col min="7" max="7" width="9.42578125" customWidth="1"/>
    <col min="8" max="8" width="10" customWidth="1"/>
    <col min="9" max="9" width="9.85546875" customWidth="1"/>
    <col min="10" max="10" width="9.85546875" bestFit="1" customWidth="1"/>
    <col min="11" max="11" width="9.140625" customWidth="1"/>
    <col min="12" max="12" width="5.7109375" customWidth="1"/>
    <col min="55" max="61" width="9.140625" customWidth="1"/>
  </cols>
  <sheetData>
    <row r="1" spans="1:12" ht="75" customHeight="1" thickBot="1">
      <c r="A1" s="156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4"/>
    </row>
    <row r="2" spans="1:12" ht="9.75" customHeight="1">
      <c r="A2" s="5"/>
      <c r="B2" s="8"/>
      <c r="C2" s="6"/>
      <c r="D2" s="6"/>
      <c r="E2" s="6"/>
      <c r="F2" s="6"/>
      <c r="G2" s="6"/>
      <c r="H2" s="6"/>
      <c r="I2" s="6"/>
      <c r="J2" s="6"/>
      <c r="K2" s="6"/>
      <c r="L2" s="2"/>
    </row>
    <row r="3" spans="1:12" ht="18" customHeight="1">
      <c r="A3" s="11"/>
      <c r="B3" s="159" t="s">
        <v>0</v>
      </c>
      <c r="C3" s="160"/>
      <c r="D3" s="160"/>
      <c r="E3" s="160"/>
      <c r="F3" s="161"/>
      <c r="G3" s="13" t="s">
        <v>1</v>
      </c>
      <c r="H3" s="13" t="s">
        <v>2</v>
      </c>
      <c r="I3" s="9"/>
      <c r="J3" s="9"/>
      <c r="K3" s="9"/>
      <c r="L3" s="1" t="s">
        <v>1</v>
      </c>
    </row>
    <row r="4" spans="1:12" ht="18" customHeight="1">
      <c r="A4" s="11"/>
      <c r="B4" s="11" t="s">
        <v>3</v>
      </c>
      <c r="C4" s="9"/>
      <c r="D4" s="9"/>
      <c r="E4" s="9" t="s">
        <v>4</v>
      </c>
      <c r="F4" s="1"/>
      <c r="G4" s="9"/>
      <c r="H4" s="100" t="s">
        <v>5</v>
      </c>
      <c r="I4" s="13"/>
      <c r="J4" s="9"/>
      <c r="K4" s="9"/>
      <c r="L4" s="1"/>
    </row>
    <row r="5" spans="1:12" ht="18" customHeight="1">
      <c r="A5" s="11"/>
      <c r="B5" s="11" t="s">
        <v>6</v>
      </c>
      <c r="C5" s="9"/>
      <c r="D5" s="9"/>
      <c r="E5" s="9" t="s">
        <v>7</v>
      </c>
      <c r="F5" s="1"/>
      <c r="G5" s="9"/>
      <c r="H5" s="97" t="s">
        <v>8</v>
      </c>
      <c r="I5" s="98" t="s">
        <v>9</v>
      </c>
      <c r="J5" s="99" t="s">
        <v>10</v>
      </c>
      <c r="K5" s="13" t="s">
        <v>1</v>
      </c>
      <c r="L5" s="1"/>
    </row>
    <row r="6" spans="1:12" ht="18" customHeight="1" thickBot="1">
      <c r="A6" s="11"/>
      <c r="B6" s="25" t="s">
        <v>11</v>
      </c>
      <c r="C6" s="26"/>
      <c r="D6" s="26"/>
      <c r="E6" s="26" t="s">
        <v>12</v>
      </c>
      <c r="F6" s="27"/>
      <c r="G6" s="102" t="str">
        <f>IF(C13="Gasfyr","Gasfyr",IF(C13="Oliefyr","Oliefyr"))</f>
        <v>Gasfyr</v>
      </c>
      <c r="H6" s="103">
        <f>IF(C13="Gasfyr",Formler!P5,IF(C13="Oliefyr",Formler!P4))</f>
        <v>88</v>
      </c>
      <c r="I6" s="104">
        <f>IF(C13="Gasfyr",Formler!O5,IF(C13="Oliefyr",Formler!O4))</f>
        <v>93</v>
      </c>
      <c r="J6" s="105">
        <f>IF(C13="Gasfyr",Formler!N5,IF(C13="Oliefyr",Formler!N4))</f>
        <v>97</v>
      </c>
      <c r="K6" s="9" t="s">
        <v>13</v>
      </c>
      <c r="L6" s="1" t="s">
        <v>1</v>
      </c>
    </row>
    <row r="7" spans="1:12" ht="9.75" customHeight="1" thickBot="1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7"/>
    </row>
    <row r="8" spans="1:12" ht="9.75" customHeight="1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2"/>
    </row>
    <row r="9" spans="1:12" ht="15" customHeight="1">
      <c r="A9" s="11"/>
      <c r="B9" s="16" t="s">
        <v>14</v>
      </c>
      <c r="C9" s="9"/>
      <c r="D9" s="9"/>
      <c r="E9" s="9"/>
      <c r="F9" s="9" t="s">
        <v>1</v>
      </c>
      <c r="G9" s="162" t="s">
        <v>15</v>
      </c>
      <c r="H9" s="162"/>
      <c r="I9" s="162"/>
      <c r="J9" s="137">
        <v>130</v>
      </c>
      <c r="K9" s="9" t="s">
        <v>16</v>
      </c>
      <c r="L9" s="1"/>
    </row>
    <row r="10" spans="1:12" ht="9.75" customHeight="1">
      <c r="A10" s="1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</row>
    <row r="11" spans="1:12" ht="15" customHeight="1">
      <c r="A11" s="11"/>
      <c r="B11" s="13" t="s">
        <v>17</v>
      </c>
      <c r="C11" s="9"/>
      <c r="D11" s="9"/>
      <c r="E11" s="13" t="s">
        <v>18</v>
      </c>
      <c r="F11" s="9"/>
      <c r="G11" s="158" t="s">
        <v>19</v>
      </c>
      <c r="H11" s="158"/>
      <c r="I11" s="9"/>
      <c r="J11" s="158" t="s">
        <v>20</v>
      </c>
      <c r="K11" s="158"/>
      <c r="L11" s="1"/>
    </row>
    <row r="12" spans="1:12" ht="15" customHeight="1" thickBot="1">
      <c r="A12" s="11"/>
      <c r="B12" s="9"/>
      <c r="C12" s="52" t="s">
        <v>21</v>
      </c>
      <c r="D12" s="9"/>
      <c r="E12" s="9"/>
      <c r="F12" s="9"/>
      <c r="G12" s="9"/>
      <c r="H12" s="9"/>
      <c r="I12" s="9"/>
      <c r="J12" s="13" t="s">
        <v>22</v>
      </c>
      <c r="K12" s="13"/>
      <c r="L12" s="1"/>
    </row>
    <row r="13" spans="1:12" ht="15" customHeight="1" thickBot="1">
      <c r="A13" s="11"/>
      <c r="B13" s="9"/>
      <c r="C13" s="53" t="s">
        <v>23</v>
      </c>
      <c r="D13" s="9"/>
      <c r="E13" s="28">
        <v>1600</v>
      </c>
      <c r="F13" s="9" t="str">
        <f>IF(C13=Formler!B24,"  liter olie",IF(C13=Formler!B25,"  m3 gas"))</f>
        <v xml:space="preserve">  m3 gas</v>
      </c>
      <c r="G13" s="9">
        <f>IF(C13=Formler!B24,E13*Formler!D8/1000,IF(C13=Formler!B25,E13*Formler!D9/1000))*I15/100</f>
        <v>17.071999999999999</v>
      </c>
      <c r="H13" s="9" t="s">
        <v>24</v>
      </c>
      <c r="I13" s="9"/>
      <c r="J13" s="19">
        <f>IF(C13=Formler!B24,E13*Formler!C29,IF(C13=Formler!B25,E13*Formler!C30))</f>
        <v>20000</v>
      </c>
      <c r="K13" s="9" t="s">
        <v>25</v>
      </c>
      <c r="L13" s="1"/>
    </row>
    <row r="14" spans="1:12" ht="15" customHeight="1" thickBot="1">
      <c r="A14" s="11"/>
      <c r="B14" s="9"/>
      <c r="C14" s="9"/>
      <c r="D14" s="9"/>
      <c r="E14" s="9"/>
      <c r="F14" s="9"/>
      <c r="G14" s="9"/>
      <c r="H14" s="9"/>
      <c r="I14" s="9"/>
      <c r="J14" s="9"/>
      <c r="K14" s="9"/>
      <c r="L14" s="1"/>
    </row>
    <row r="15" spans="1:12" ht="15" customHeight="1" thickBot="1">
      <c r="A15" s="11"/>
      <c r="B15" s="9"/>
      <c r="C15" s="13" t="s">
        <v>26</v>
      </c>
      <c r="D15" s="9"/>
      <c r="E15" s="28">
        <v>2016</v>
      </c>
      <c r="F15" s="9"/>
      <c r="G15" s="13" t="s">
        <v>27</v>
      </c>
      <c r="H15" s="9"/>
      <c r="I15" s="106">
        <f>IF(E15&gt;=2005,IF(E15&lt;=2015,I6,J6),H6)</f>
        <v>97</v>
      </c>
      <c r="J15" s="13" t="s">
        <v>13</v>
      </c>
      <c r="K15" s="9"/>
      <c r="L15" s="1"/>
    </row>
    <row r="16" spans="1:12" ht="6.75" customHeight="1" thickBot="1">
      <c r="A16" s="11"/>
      <c r="B16" s="9"/>
      <c r="C16" s="9"/>
      <c r="D16" s="9"/>
      <c r="E16" s="9"/>
      <c r="F16" s="9"/>
      <c r="G16" s="9"/>
      <c r="H16" s="9"/>
      <c r="I16" s="9"/>
      <c r="J16" s="9"/>
      <c r="K16" s="9"/>
      <c r="L16" s="1"/>
    </row>
    <row r="17" spans="1:12" ht="6.75" customHeight="1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2"/>
    </row>
    <row r="18" spans="1:12" ht="21">
      <c r="A18" s="11"/>
      <c r="B18" s="58" t="s">
        <v>28</v>
      </c>
      <c r="C18" s="9"/>
      <c r="D18" s="9"/>
      <c r="E18" s="80" t="s">
        <v>29</v>
      </c>
      <c r="F18" s="79"/>
      <c r="G18" s="79"/>
      <c r="H18" s="9"/>
      <c r="I18" s="9"/>
      <c r="J18" s="9"/>
      <c r="K18" s="9"/>
      <c r="L18" s="1"/>
    </row>
    <row r="19" spans="1:12" ht="8.25" customHeight="1">
      <c r="A19" s="11"/>
      <c r="B19" s="9"/>
      <c r="C19" s="9"/>
      <c r="D19" s="9"/>
      <c r="E19" s="9"/>
      <c r="F19" s="9"/>
      <c r="G19" s="9"/>
      <c r="H19" s="9"/>
      <c r="I19" s="9"/>
      <c r="J19" s="9"/>
      <c r="K19" s="9"/>
      <c r="L19" s="1"/>
    </row>
    <row r="20" spans="1:12" ht="15" customHeight="1">
      <c r="A20" s="17"/>
      <c r="B20" s="61" t="s">
        <v>30</v>
      </c>
      <c r="C20" s="18"/>
      <c r="D20" s="18"/>
      <c r="E20" s="18"/>
      <c r="F20" s="18"/>
      <c r="G20" s="18"/>
      <c r="H20" s="18"/>
      <c r="I20" s="18"/>
      <c r="J20" s="18"/>
      <c r="K20" s="18"/>
      <c r="L20" s="7"/>
    </row>
    <row r="21" spans="1:12" ht="15" customHeight="1">
      <c r="A21" s="11"/>
      <c r="B21" s="9"/>
      <c r="C21" s="9"/>
      <c r="D21" s="9"/>
      <c r="E21" s="9"/>
      <c r="F21" s="9"/>
      <c r="G21" s="9"/>
      <c r="H21" s="9"/>
      <c r="I21" s="9"/>
      <c r="J21" s="158" t="s">
        <v>31</v>
      </c>
      <c r="K21" s="158"/>
      <c r="L21" s="1"/>
    </row>
    <row r="22" spans="1:12" ht="15" customHeight="1">
      <c r="A22" s="11"/>
      <c r="B22" s="9" t="s">
        <v>32</v>
      </c>
      <c r="C22" s="9"/>
      <c r="D22" s="9"/>
      <c r="E22" s="9"/>
      <c r="F22" s="9"/>
      <c r="G22" s="9"/>
      <c r="H22" s="9"/>
      <c r="I22" s="9"/>
      <c r="J22" s="19">
        <f>Formler!D16</f>
        <v>1250</v>
      </c>
      <c r="K22" s="9" t="s">
        <v>25</v>
      </c>
      <c r="L22" s="1"/>
    </row>
    <row r="23" spans="1:12" ht="15" customHeight="1">
      <c r="A23" s="11"/>
      <c r="B23" s="9" t="s">
        <v>33</v>
      </c>
      <c r="C23" s="9"/>
      <c r="D23" s="101">
        <f>J9</f>
        <v>130</v>
      </c>
      <c r="E23" s="3" t="s">
        <v>16</v>
      </c>
      <c r="F23" s="9">
        <f>Formler!D17</f>
        <v>37.5</v>
      </c>
      <c r="G23" s="9" t="s">
        <v>34</v>
      </c>
      <c r="H23" s="9"/>
      <c r="I23" s="9"/>
      <c r="J23" s="19">
        <f>D23*F23</f>
        <v>4875</v>
      </c>
      <c r="K23" s="9" t="s">
        <v>25</v>
      </c>
      <c r="L23" s="1"/>
    </row>
    <row r="24" spans="1:12" ht="15" customHeight="1">
      <c r="A24" s="11"/>
      <c r="B24" s="9" t="s">
        <v>35</v>
      </c>
      <c r="C24" s="9"/>
      <c r="D24" s="9">
        <f>G13</f>
        <v>17.071999999999999</v>
      </c>
      <c r="E24" s="9" t="s">
        <v>36</v>
      </c>
      <c r="F24" s="9">
        <f>Formler!D18</f>
        <v>675</v>
      </c>
      <c r="G24" s="9" t="s">
        <v>37</v>
      </c>
      <c r="H24" s="9"/>
      <c r="I24" s="9"/>
      <c r="J24" s="19">
        <f>D24*F24</f>
        <v>11523.599999999999</v>
      </c>
      <c r="K24" s="9" t="s">
        <v>25</v>
      </c>
      <c r="L24" s="1"/>
    </row>
    <row r="25" spans="1:12" ht="15" customHeight="1">
      <c r="A25" s="11"/>
      <c r="B25" s="9" t="s">
        <v>38</v>
      </c>
      <c r="C25" s="9"/>
      <c r="D25" s="9"/>
      <c r="E25" s="9"/>
      <c r="F25" s="9"/>
      <c r="G25" s="9"/>
      <c r="H25" s="9"/>
      <c r="I25" s="9"/>
      <c r="J25" s="19">
        <f>Formler!D20+Formler!D19</f>
        <v>1953</v>
      </c>
      <c r="K25" s="9" t="s">
        <v>25</v>
      </c>
      <c r="L25" s="1"/>
    </row>
    <row r="26" spans="1:12" ht="15" customHeight="1" thickBot="1">
      <c r="A26" s="11"/>
      <c r="B26" s="12" t="s">
        <v>39</v>
      </c>
      <c r="C26" s="9"/>
      <c r="D26" s="9"/>
      <c r="E26" s="9"/>
      <c r="F26" s="9"/>
      <c r="G26" s="9"/>
      <c r="H26" s="9"/>
      <c r="I26" s="9"/>
      <c r="J26" s="20">
        <f>SUM(J22:K25)</f>
        <v>19601.599999999999</v>
      </c>
      <c r="K26" s="21" t="s">
        <v>25</v>
      </c>
      <c r="L26" s="1"/>
    </row>
    <row r="27" spans="1:12" ht="7.5" customHeight="1" thickTop="1">
      <c r="A27" s="11"/>
      <c r="B27" s="9"/>
      <c r="C27" s="9"/>
      <c r="D27" s="9"/>
      <c r="E27" s="9"/>
      <c r="F27" s="9"/>
      <c r="G27" s="9"/>
      <c r="H27" s="9"/>
      <c r="I27" s="9"/>
      <c r="J27" s="9"/>
      <c r="K27" s="9"/>
      <c r="L27" s="1"/>
    </row>
    <row r="28" spans="1:12" ht="15" customHeight="1">
      <c r="A28" s="17"/>
      <c r="B28" s="61" t="s">
        <v>40</v>
      </c>
      <c r="C28" s="18"/>
      <c r="D28" s="18"/>
      <c r="E28" s="18"/>
      <c r="F28" s="18"/>
      <c r="G28" s="18"/>
      <c r="H28" s="18"/>
      <c r="I28" s="18"/>
      <c r="J28" s="18"/>
      <c r="K28" s="18"/>
      <c r="L28" s="7"/>
    </row>
    <row r="29" spans="1:12" ht="15" customHeight="1">
      <c r="A29" s="11"/>
      <c r="B29" s="9"/>
      <c r="C29" s="9"/>
      <c r="D29" s="9"/>
      <c r="E29" s="9"/>
      <c r="F29" s="9"/>
      <c r="G29" s="9"/>
      <c r="H29" s="9"/>
      <c r="I29" s="9"/>
      <c r="J29" s="158" t="s">
        <v>31</v>
      </c>
      <c r="K29" s="158"/>
      <c r="L29" s="1"/>
    </row>
    <row r="30" spans="1:12" ht="15" customHeight="1">
      <c r="A30" s="11"/>
      <c r="B30" s="9" t="s">
        <v>41</v>
      </c>
      <c r="C30" s="9"/>
      <c r="D30" s="9"/>
      <c r="E30" s="9"/>
      <c r="F30" s="9"/>
      <c r="G30" s="9"/>
      <c r="H30" s="9"/>
      <c r="I30" s="9"/>
      <c r="J30" s="19">
        <f>IF(D32=0,0,IF(D32&gt;0,Formler!F19))</f>
        <v>0</v>
      </c>
      <c r="K30" s="9" t="s">
        <v>25</v>
      </c>
      <c r="L30" s="1"/>
    </row>
    <row r="31" spans="1:12" ht="15" customHeight="1">
      <c r="A31" s="11"/>
      <c r="B31" s="9" t="s">
        <v>42</v>
      </c>
      <c r="C31" s="9"/>
      <c r="D31" s="9"/>
      <c r="E31" s="9"/>
      <c r="F31" s="9"/>
      <c r="G31" s="9"/>
      <c r="H31" s="9"/>
      <c r="I31" s="9"/>
      <c r="J31" s="19">
        <f>IF(D32=0,0,IF(D32&gt;0,Formler!F20))</f>
        <v>0</v>
      </c>
      <c r="K31" s="9" t="s">
        <v>25</v>
      </c>
      <c r="L31" s="1"/>
    </row>
    <row r="32" spans="1:12" ht="15" customHeight="1">
      <c r="A32" s="11"/>
      <c r="B32" s="9" t="s">
        <v>35</v>
      </c>
      <c r="C32" s="9"/>
      <c r="D32" s="9">
        <f>IF(C13=Formler!B25,0,IF(C13=Formler!B24,E13))</f>
        <v>0</v>
      </c>
      <c r="E32" s="10" t="s">
        <v>43</v>
      </c>
      <c r="F32" s="10">
        <f>Formler!C29</f>
        <v>14</v>
      </c>
      <c r="G32" s="9" t="s">
        <v>44</v>
      </c>
      <c r="H32" s="9"/>
      <c r="I32" s="9"/>
      <c r="J32" s="19">
        <f>D32*F32</f>
        <v>0</v>
      </c>
      <c r="K32" s="9" t="s">
        <v>25</v>
      </c>
      <c r="L32" s="1"/>
    </row>
    <row r="33" spans="1:12" ht="15" customHeight="1" thickBot="1">
      <c r="A33" s="11"/>
      <c r="B33" s="12" t="s">
        <v>45</v>
      </c>
      <c r="C33" s="9"/>
      <c r="D33" s="9"/>
      <c r="E33" s="9"/>
      <c r="F33" s="9"/>
      <c r="G33" s="9"/>
      <c r="H33" s="9"/>
      <c r="I33" s="9"/>
      <c r="J33" s="20">
        <f>SUM(J30:J32)</f>
        <v>0</v>
      </c>
      <c r="K33" s="21" t="s">
        <v>25</v>
      </c>
      <c r="L33" s="1"/>
    </row>
    <row r="34" spans="1:12" ht="7.5" customHeight="1" thickTop="1">
      <c r="A34" s="11"/>
      <c r="B34" s="12"/>
      <c r="C34" s="9"/>
      <c r="D34" s="9"/>
      <c r="E34" s="9"/>
      <c r="F34" s="9"/>
      <c r="G34" s="9"/>
      <c r="H34" s="9"/>
      <c r="I34" s="9"/>
      <c r="J34" s="22"/>
      <c r="K34" s="13"/>
      <c r="L34" s="1"/>
    </row>
    <row r="35" spans="1:12" ht="15" customHeight="1">
      <c r="A35" s="17"/>
      <c r="B35" s="61" t="s">
        <v>46</v>
      </c>
      <c r="C35" s="18"/>
      <c r="D35" s="18"/>
      <c r="E35" s="18"/>
      <c r="F35" s="18"/>
      <c r="G35" s="18"/>
      <c r="H35" s="18"/>
      <c r="I35" s="18"/>
      <c r="J35" s="23"/>
      <c r="K35" s="24"/>
      <c r="L35" s="7"/>
    </row>
    <row r="36" spans="1:12" ht="15" customHeight="1">
      <c r="A36" s="11"/>
      <c r="B36" s="12"/>
      <c r="C36" s="9"/>
      <c r="D36" s="9"/>
      <c r="E36" s="9"/>
      <c r="F36" s="9"/>
      <c r="G36" s="9"/>
      <c r="H36" s="9"/>
      <c r="I36" s="9"/>
      <c r="J36" s="163" t="s">
        <v>31</v>
      </c>
      <c r="K36" s="163"/>
      <c r="L36" s="1"/>
    </row>
    <row r="37" spans="1:12" ht="15" customHeight="1">
      <c r="A37" s="11"/>
      <c r="B37" s="9" t="s">
        <v>32</v>
      </c>
      <c r="C37" s="9"/>
      <c r="D37" s="9"/>
      <c r="E37" s="9"/>
      <c r="F37" s="9"/>
      <c r="G37" s="9"/>
      <c r="H37" s="9"/>
      <c r="I37" s="9"/>
      <c r="J37" s="19">
        <f>IF(D40=0,0,IF(D40&gt;0,Formler!G16))</f>
        <v>663</v>
      </c>
      <c r="K37" s="9" t="s">
        <v>25</v>
      </c>
      <c r="L37" s="1"/>
    </row>
    <row r="38" spans="1:12" ht="15" customHeight="1">
      <c r="A38" s="11"/>
      <c r="B38" s="9" t="s">
        <v>47</v>
      </c>
      <c r="C38" s="9"/>
      <c r="D38" s="9"/>
      <c r="E38" s="9"/>
      <c r="F38" s="9"/>
      <c r="G38" s="9"/>
      <c r="H38" s="9"/>
      <c r="I38" s="9"/>
      <c r="J38" s="19">
        <f>IF(D40=0,0,IF(D40&gt;0,Formler!G20))</f>
        <v>2000</v>
      </c>
      <c r="K38" s="9" t="s">
        <v>25</v>
      </c>
      <c r="L38" s="1"/>
    </row>
    <row r="39" spans="1:12" ht="15" customHeight="1">
      <c r="A39" s="11"/>
      <c r="B39" s="9" t="s">
        <v>48</v>
      </c>
      <c r="C39" s="9"/>
      <c r="D39" s="9"/>
      <c r="E39" s="9"/>
      <c r="F39" s="9"/>
      <c r="G39" s="9"/>
      <c r="H39" s="9"/>
      <c r="I39" s="9"/>
      <c r="J39" s="19">
        <f>IF(D40=0,0,IF(D40&gt;0,Formler!G19))</f>
        <v>1800</v>
      </c>
      <c r="K39" s="9" t="s">
        <v>25</v>
      </c>
      <c r="L39" s="1"/>
    </row>
    <row r="40" spans="1:12" ht="15" customHeight="1">
      <c r="A40" s="11"/>
      <c r="B40" s="9" t="s">
        <v>35</v>
      </c>
      <c r="C40" s="9"/>
      <c r="D40" s="9">
        <f>IF(C13=Formler!B24,0,IF(C13=Formler!B25,E13))</f>
        <v>1600</v>
      </c>
      <c r="E40" s="9" t="s">
        <v>49</v>
      </c>
      <c r="F40" s="10">
        <f>Formler!C30</f>
        <v>12.5</v>
      </c>
      <c r="G40" s="9" t="s">
        <v>50</v>
      </c>
      <c r="H40" s="9"/>
      <c r="I40" s="9"/>
      <c r="J40" s="19">
        <f>D40*F40</f>
        <v>20000</v>
      </c>
      <c r="K40" s="9" t="s">
        <v>25</v>
      </c>
      <c r="L40" s="1"/>
    </row>
    <row r="41" spans="1:12" ht="15" customHeight="1" thickBot="1">
      <c r="A41" s="11"/>
      <c r="B41" s="12" t="s">
        <v>51</v>
      </c>
      <c r="C41" s="9"/>
      <c r="D41" s="9"/>
      <c r="E41" s="9"/>
      <c r="F41" s="9"/>
      <c r="G41" s="9"/>
      <c r="H41" s="9"/>
      <c r="I41" s="9"/>
      <c r="J41" s="20">
        <f>SUM(J37:J40)</f>
        <v>24463</v>
      </c>
      <c r="K41" s="21" t="s">
        <v>25</v>
      </c>
      <c r="L41" s="1"/>
    </row>
    <row r="42" spans="1:12" ht="7.5" customHeight="1">
      <c r="A42" s="11"/>
      <c r="B42" s="153"/>
      <c r="C42" s="153"/>
      <c r="D42" s="153"/>
      <c r="E42" s="153"/>
      <c r="F42" s="153"/>
      <c r="G42" s="9"/>
      <c r="H42" s="9"/>
      <c r="I42" s="9"/>
      <c r="J42" s="9"/>
      <c r="K42" s="9"/>
      <c r="L42" s="1"/>
    </row>
    <row r="43" spans="1:12" ht="15" customHeight="1">
      <c r="A43" s="17"/>
      <c r="B43" s="80" t="s">
        <v>52</v>
      </c>
      <c r="C43" s="9"/>
      <c r="D43" s="9"/>
      <c r="E43" s="9"/>
      <c r="F43" s="9"/>
      <c r="G43" s="18"/>
      <c r="H43" s="18"/>
      <c r="I43" s="18"/>
      <c r="J43" s="18"/>
      <c r="K43" s="18"/>
      <c r="L43" s="7"/>
    </row>
    <row r="44" spans="1:12" ht="15" customHeight="1">
      <c r="A44" s="11"/>
      <c r="B44" s="155" t="s">
        <v>53</v>
      </c>
      <c r="C44" s="155"/>
      <c r="D44" s="154">
        <v>3.15</v>
      </c>
      <c r="E44" s="9"/>
      <c r="F44" s="9"/>
      <c r="G44" s="9"/>
      <c r="H44" s="9"/>
      <c r="I44" s="9"/>
      <c r="J44" s="158" t="s">
        <v>31</v>
      </c>
      <c r="K44" s="158"/>
      <c r="L44" s="1"/>
    </row>
    <row r="45" spans="1:12" ht="15" customHeight="1">
      <c r="A45" s="11"/>
      <c r="B45" s="9" t="s">
        <v>54</v>
      </c>
      <c r="C45" s="9"/>
      <c r="D45" s="9"/>
      <c r="E45" s="9"/>
      <c r="F45" s="9"/>
      <c r="G45" s="9"/>
      <c r="H45" s="9"/>
      <c r="I45" s="9"/>
      <c r="J45" s="19">
        <v>3000</v>
      </c>
      <c r="K45" s="9" t="s">
        <v>25</v>
      </c>
      <c r="L45" s="1"/>
    </row>
    <row r="46" spans="1:12" ht="15" customHeight="1">
      <c r="A46" s="11"/>
      <c r="B46" s="155" t="s">
        <v>55</v>
      </c>
      <c r="C46" s="155"/>
      <c r="D46" s="155"/>
      <c r="E46" s="3" t="s">
        <v>16</v>
      </c>
      <c r="F46" s="9">
        <f>Formler!D44</f>
        <v>135150</v>
      </c>
      <c r="G46" s="9" t="s">
        <v>56</v>
      </c>
      <c r="H46" s="9"/>
      <c r="I46" s="9"/>
      <c r="J46" s="101">
        <f>Formler!G44</f>
        <v>8015.5</v>
      </c>
      <c r="K46" s="9" t="s">
        <v>25</v>
      </c>
      <c r="L46" s="1"/>
    </row>
    <row r="47" spans="1:12" ht="15" customHeight="1">
      <c r="A47" s="11"/>
      <c r="B47" s="9" t="s">
        <v>35</v>
      </c>
      <c r="C47" s="9"/>
      <c r="D47" s="9">
        <f>G13/D44</f>
        <v>5.4196825396825394</v>
      </c>
      <c r="E47" s="9" t="s">
        <v>36</v>
      </c>
      <c r="F47" s="10">
        <f>Formler!C31</f>
        <v>1681</v>
      </c>
      <c r="G47" s="9" t="s">
        <v>37</v>
      </c>
      <c r="H47" s="9"/>
      <c r="I47" s="9"/>
      <c r="J47" s="19">
        <f>D47*F47</f>
        <v>9110.4863492063487</v>
      </c>
      <c r="K47" s="9" t="s">
        <v>25</v>
      </c>
      <c r="L47" s="1"/>
    </row>
    <row r="48" spans="1:12" ht="15" customHeight="1">
      <c r="A48" s="11"/>
      <c r="B48" s="12" t="s">
        <v>57</v>
      </c>
      <c r="C48" s="9"/>
      <c r="D48" s="9"/>
      <c r="E48" s="9"/>
      <c r="F48" s="9"/>
      <c r="G48" s="9"/>
      <c r="H48" s="9"/>
      <c r="I48" s="9"/>
      <c r="J48" s="20">
        <f>SUM(J45:J47)</f>
        <v>20125.986349206349</v>
      </c>
      <c r="K48" s="21" t="s">
        <v>25</v>
      </c>
      <c r="L48" s="1"/>
    </row>
    <row r="49" spans="1:12" ht="7.5" customHeight="1">
      <c r="A49" s="11"/>
      <c r="B49" s="12"/>
      <c r="C49" s="9"/>
      <c r="D49" s="9"/>
      <c r="E49" s="9"/>
      <c r="F49" s="9"/>
      <c r="G49" s="9"/>
      <c r="H49" s="9"/>
      <c r="I49" s="9"/>
      <c r="J49" s="20"/>
      <c r="K49" s="21"/>
      <c r="L49" s="1"/>
    </row>
    <row r="50" spans="1:12" ht="15" customHeight="1">
      <c r="A50" s="11"/>
      <c r="B50" s="9"/>
      <c r="C50" s="9"/>
      <c r="D50" s="9"/>
      <c r="E50" s="9"/>
      <c r="F50" s="9"/>
      <c r="G50" s="9"/>
      <c r="H50" s="9"/>
      <c r="I50" s="9"/>
      <c r="J50" s="9"/>
      <c r="K50" s="9"/>
      <c r="L50" s="1"/>
    </row>
    <row r="51" spans="1:12" ht="15" customHeight="1">
      <c r="A51" s="11"/>
      <c r="B51" s="9"/>
      <c r="C51" s="9"/>
      <c r="D51" s="9"/>
      <c r="E51" s="9"/>
      <c r="F51" s="9"/>
      <c r="G51" s="9"/>
      <c r="H51" s="9"/>
      <c r="I51" s="9"/>
      <c r="J51" s="9"/>
      <c r="K51" s="9"/>
      <c r="L51" s="1"/>
    </row>
    <row r="52" spans="1:12" ht="15" customHeight="1">
      <c r="A52" s="11"/>
      <c r="B52" s="9"/>
      <c r="C52" s="9"/>
      <c r="D52" s="9"/>
      <c r="E52" s="9"/>
      <c r="F52" s="9"/>
      <c r="G52" s="9"/>
      <c r="H52" s="9"/>
      <c r="I52" s="9"/>
      <c r="J52" s="9"/>
      <c r="K52" s="9"/>
      <c r="L52" s="1"/>
    </row>
    <row r="53" spans="1:12" ht="15" customHeight="1">
      <c r="A53" s="11"/>
      <c r="B53" s="9"/>
      <c r="C53" s="9"/>
      <c r="D53" s="9"/>
      <c r="E53" s="9"/>
      <c r="F53" s="9"/>
      <c r="G53" s="9"/>
      <c r="H53" s="9"/>
      <c r="I53" s="9"/>
      <c r="J53" s="9"/>
      <c r="K53" s="9"/>
      <c r="L53" s="1"/>
    </row>
    <row r="54" spans="1:12" ht="15" customHeight="1">
      <c r="A54" s="11"/>
      <c r="B54" s="9"/>
      <c r="C54" s="9"/>
      <c r="D54" s="9"/>
      <c r="E54" s="9"/>
      <c r="F54" s="9"/>
      <c r="G54" s="9"/>
      <c r="H54" s="9"/>
      <c r="I54" s="9"/>
      <c r="J54" s="9"/>
      <c r="K54" s="9"/>
      <c r="L54" s="1"/>
    </row>
    <row r="55" spans="1:12" ht="15" customHeight="1">
      <c r="A55" s="11"/>
      <c r="B55" s="9"/>
      <c r="C55" s="9"/>
      <c r="D55" s="9"/>
      <c r="E55" s="9"/>
      <c r="F55" s="9"/>
      <c r="G55" s="9"/>
      <c r="H55" s="9"/>
      <c r="I55" s="9"/>
      <c r="J55" s="9"/>
      <c r="K55" s="9"/>
      <c r="L55" s="1"/>
    </row>
    <row r="56" spans="1:12" ht="15" customHeight="1">
      <c r="A56" s="11"/>
      <c r="B56" s="9"/>
      <c r="C56" s="9"/>
      <c r="D56" s="9"/>
      <c r="E56" s="9"/>
      <c r="F56" s="9"/>
      <c r="G56" s="9"/>
      <c r="H56" s="9"/>
      <c r="I56" s="9"/>
      <c r="J56" s="9"/>
      <c r="K56" s="9"/>
      <c r="L56" s="1"/>
    </row>
    <row r="57" spans="1:12" ht="15" customHeight="1">
      <c r="A57" s="11"/>
      <c r="B57" s="9"/>
      <c r="C57" s="9"/>
      <c r="D57" s="9"/>
      <c r="E57" s="9"/>
      <c r="F57" s="9"/>
      <c r="G57" s="9"/>
      <c r="H57" s="9"/>
      <c r="I57" s="9"/>
      <c r="J57" s="9"/>
      <c r="K57" s="9"/>
      <c r="L57" s="1"/>
    </row>
    <row r="58" spans="1:12" ht="15" customHeight="1">
      <c r="A58" s="11"/>
      <c r="B58" s="9"/>
      <c r="C58" s="9"/>
      <c r="D58" s="9"/>
      <c r="E58" s="9"/>
      <c r="F58" s="9"/>
      <c r="G58" s="9"/>
      <c r="H58" s="9"/>
      <c r="I58" s="9"/>
      <c r="J58" s="9"/>
      <c r="K58" s="9"/>
      <c r="L58" s="1"/>
    </row>
    <row r="59" spans="1:12" ht="15" customHeight="1">
      <c r="A59" s="11"/>
      <c r="B59" s="9"/>
      <c r="C59" s="9"/>
      <c r="D59" s="9"/>
      <c r="E59" s="9"/>
      <c r="F59" s="9"/>
      <c r="G59" s="9"/>
      <c r="H59" s="9"/>
      <c r="I59" s="9"/>
      <c r="J59" s="9"/>
      <c r="K59" s="9"/>
      <c r="L59" s="1"/>
    </row>
    <row r="60" spans="1:12" ht="15" customHeight="1">
      <c r="A60" s="11"/>
      <c r="B60" s="9"/>
      <c r="C60" s="9"/>
      <c r="D60" s="9"/>
      <c r="E60" s="9"/>
      <c r="F60" s="9"/>
      <c r="G60" s="9"/>
      <c r="H60" s="9"/>
      <c r="I60" s="9"/>
      <c r="J60" s="9"/>
      <c r="K60" s="9"/>
      <c r="L60" s="1"/>
    </row>
    <row r="61" spans="1:12" ht="15" customHeight="1" thickBot="1">
      <c r="A61" s="25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7"/>
    </row>
    <row r="62" spans="1:12" ht="15" customHeight="1"/>
    <row r="63" spans="1:12" ht="15" customHeight="1"/>
    <row r="64" spans="1:12" ht="15" customHeight="1"/>
    <row r="65" ht="15" customHeight="1"/>
    <row r="66" ht="15" customHeight="1"/>
    <row r="67" ht="15" customHeight="1"/>
    <row r="68" ht="15" customHeight="1"/>
    <row r="69" ht="15" customHeight="1"/>
  </sheetData>
  <sheetProtection algorithmName="SHA-512" hashValue="+ibfNAHxSuWK762uHZzdeXve6L50F9tig5w7Gi8VaE6+lDOpx95brCfrVPr9dC7a5U8VADgaJtzw55mz0EAp6Q==" saltValue="eSES89F1daVoaBPV5AvD+A==" spinCount="100000" sheet="1" objects="1" scenarios="1"/>
  <mergeCells count="11">
    <mergeCell ref="B46:D46"/>
    <mergeCell ref="A1:K1"/>
    <mergeCell ref="G11:H11"/>
    <mergeCell ref="J11:K11"/>
    <mergeCell ref="B3:F3"/>
    <mergeCell ref="G9:I9"/>
    <mergeCell ref="J44:K44"/>
    <mergeCell ref="B44:C44"/>
    <mergeCell ref="J29:K29"/>
    <mergeCell ref="J36:K36"/>
    <mergeCell ref="J21:K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890" yWindow="554" count="1">
        <x14:dataValidation type="list" allowBlank="1" showInputMessage="1" showErrorMessage="1" prompt="Tryk på pilen til højre og vælg din nuværende varmekilde" xr:uid="{00000000-0002-0000-0000-000001000000}">
          <x14:formula1>
            <xm:f>Formler!$B$24:$B$25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BD95F-1473-4B2E-B022-9BB8BF7590DC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F31C5-CCC5-4C09-B38A-C35EF463D78A}">
  <dimension ref="B1:T57"/>
  <sheetViews>
    <sheetView topLeftCell="A14" workbookViewId="0">
      <selection activeCell="L33" sqref="L33"/>
    </sheetView>
  </sheetViews>
  <sheetFormatPr defaultRowHeight="14.45"/>
  <cols>
    <col min="7" max="7" width="11.5703125" customWidth="1"/>
    <col min="14" max="14" width="10.7109375" customWidth="1"/>
    <col min="15" max="15" width="9.7109375" customWidth="1"/>
    <col min="18" max="18" width="13.28515625" customWidth="1"/>
    <col min="20" max="20" width="40.7109375" customWidth="1"/>
  </cols>
  <sheetData>
    <row r="1" spans="2:17" ht="37.15" thickBot="1">
      <c r="B1" s="166" t="s">
        <v>58</v>
      </c>
      <c r="C1" s="166"/>
      <c r="D1" s="166"/>
      <c r="E1" s="166"/>
      <c r="F1" s="166"/>
      <c r="G1" s="166"/>
      <c r="H1" s="166"/>
      <c r="I1" s="166"/>
      <c r="M1" s="107"/>
      <c r="N1" s="107" t="s">
        <v>59</v>
      </c>
      <c r="O1" s="107"/>
      <c r="P1" s="107"/>
      <c r="Q1" s="107"/>
    </row>
    <row r="2" spans="2:17" ht="15" thickBot="1">
      <c r="J2" s="164" t="s">
        <v>60</v>
      </c>
      <c r="K2" s="165"/>
      <c r="M2" s="167" t="s">
        <v>60</v>
      </c>
      <c r="N2" s="167"/>
      <c r="O2" s="167"/>
      <c r="P2" s="167"/>
      <c r="Q2" s="107"/>
    </row>
    <row r="3" spans="2:17" ht="15" thickBot="1">
      <c r="B3" s="81" t="s">
        <v>61</v>
      </c>
      <c r="C3" s="82"/>
      <c r="D3" s="83">
        <v>100</v>
      </c>
      <c r="F3" s="37" t="s">
        <v>62</v>
      </c>
      <c r="G3" s="38"/>
      <c r="H3" s="39"/>
      <c r="J3" s="95" t="s">
        <v>63</v>
      </c>
      <c r="K3" s="96">
        <v>85</v>
      </c>
      <c r="L3" t="s">
        <v>13</v>
      </c>
      <c r="M3" s="108"/>
      <c r="N3" s="108" t="s">
        <v>10</v>
      </c>
      <c r="O3" s="108" t="s">
        <v>9</v>
      </c>
      <c r="P3" s="108" t="s">
        <v>8</v>
      </c>
      <c r="Q3" s="107"/>
    </row>
    <row r="4" spans="2:17" ht="15" thickBot="1">
      <c r="B4" s="84"/>
      <c r="C4" s="85"/>
      <c r="D4" s="86">
        <v>2000</v>
      </c>
      <c r="F4" s="42" t="s">
        <v>64</v>
      </c>
      <c r="G4" s="43" t="s">
        <v>65</v>
      </c>
      <c r="H4" s="44" t="s">
        <v>66</v>
      </c>
      <c r="J4" s="94" t="s">
        <v>67</v>
      </c>
      <c r="K4" s="93">
        <v>98</v>
      </c>
      <c r="L4" t="s">
        <v>13</v>
      </c>
      <c r="M4" s="108" t="s">
        <v>63</v>
      </c>
      <c r="N4" s="108">
        <v>95</v>
      </c>
      <c r="O4" s="108">
        <v>90</v>
      </c>
      <c r="P4" s="108">
        <v>85</v>
      </c>
      <c r="Q4" s="107" t="s">
        <v>13</v>
      </c>
    </row>
    <row r="5" spans="2:17" ht="15" thickBot="1">
      <c r="B5" s="87"/>
      <c r="C5" s="88"/>
      <c r="D5" s="89">
        <v>0</v>
      </c>
      <c r="F5" s="48">
        <v>95</v>
      </c>
      <c r="G5" s="49">
        <v>85</v>
      </c>
      <c r="H5" s="50">
        <v>75</v>
      </c>
      <c r="M5" s="108" t="s">
        <v>67</v>
      </c>
      <c r="N5" s="108">
        <v>97</v>
      </c>
      <c r="O5" s="108">
        <v>93</v>
      </c>
      <c r="P5" s="108">
        <v>88</v>
      </c>
      <c r="Q5" s="107" t="s">
        <v>13</v>
      </c>
    </row>
    <row r="6" spans="2:17">
      <c r="D6" t="s">
        <v>1</v>
      </c>
      <c r="H6" s="51"/>
      <c r="I6" s="51"/>
      <c r="J6" s="51"/>
    </row>
    <row r="7" spans="2:17">
      <c r="B7" s="109" t="s">
        <v>68</v>
      </c>
      <c r="C7" s="110"/>
      <c r="D7" s="110"/>
      <c r="E7" s="110"/>
      <c r="F7" s="111"/>
    </row>
    <row r="8" spans="2:17">
      <c r="B8" s="112" t="s">
        <v>63</v>
      </c>
      <c r="C8" s="107"/>
      <c r="D8" s="107">
        <v>10.1</v>
      </c>
      <c r="E8" s="107" t="s">
        <v>69</v>
      </c>
      <c r="F8" s="113"/>
      <c r="N8">
        <v>2015</v>
      </c>
    </row>
    <row r="9" spans="2:17" ht="16.149999999999999">
      <c r="B9" s="114" t="s">
        <v>67</v>
      </c>
      <c r="C9" s="115"/>
      <c r="D9" s="115">
        <v>11</v>
      </c>
      <c r="E9" s="115" t="s">
        <v>70</v>
      </c>
      <c r="F9" s="116"/>
    </row>
    <row r="11" spans="2:17">
      <c r="B11" s="34" t="s">
        <v>71</v>
      </c>
      <c r="C11" s="35"/>
      <c r="D11" s="36"/>
    </row>
    <row r="12" spans="2:17">
      <c r="B12" s="40" t="s">
        <v>72</v>
      </c>
      <c r="C12" t="s">
        <v>73</v>
      </c>
      <c r="D12" s="54" t="s">
        <v>74</v>
      </c>
    </row>
    <row r="13" spans="2:17">
      <c r="B13" s="55">
        <v>36000</v>
      </c>
      <c r="C13" s="46">
        <v>18</v>
      </c>
      <c r="D13" s="47">
        <v>2000</v>
      </c>
    </row>
    <row r="15" spans="2:17" ht="14.45" customHeight="1">
      <c r="B15" s="117"/>
      <c r="C15" s="118"/>
      <c r="D15" s="119" t="s">
        <v>30</v>
      </c>
      <c r="E15" s="120"/>
      <c r="F15" s="56" t="s">
        <v>63</v>
      </c>
      <c r="G15" s="57" t="s">
        <v>67</v>
      </c>
    </row>
    <row r="16" spans="2:17" ht="14.45" customHeight="1">
      <c r="B16" s="121" t="s">
        <v>32</v>
      </c>
      <c r="C16" s="114"/>
      <c r="D16" s="112">
        <v>1250</v>
      </c>
      <c r="E16" s="113" t="s">
        <v>75</v>
      </c>
      <c r="F16" s="59">
        <v>0</v>
      </c>
      <c r="G16" s="60">
        <v>663</v>
      </c>
    </row>
    <row r="17" spans="2:20" ht="14.45" customHeight="1">
      <c r="B17" s="108" t="s">
        <v>33</v>
      </c>
      <c r="C17" s="117"/>
      <c r="D17" s="112">
        <v>37.5</v>
      </c>
      <c r="E17" s="113" t="s">
        <v>75</v>
      </c>
      <c r="F17" s="59">
        <v>0</v>
      </c>
      <c r="G17" s="60">
        <v>0</v>
      </c>
      <c r="H17" s="90" t="s">
        <v>76</v>
      </c>
    </row>
    <row r="18" spans="2:20" ht="14.45" customHeight="1">
      <c r="B18" s="125" t="s">
        <v>35</v>
      </c>
      <c r="C18" s="126"/>
      <c r="D18" s="112">
        <f>500+500*0.25+50</f>
        <v>675</v>
      </c>
      <c r="E18" s="113" t="s">
        <v>75</v>
      </c>
      <c r="F18" s="62">
        <f>F35</f>
        <v>807.92079207920801</v>
      </c>
      <c r="G18" s="63">
        <f>F39</f>
        <v>727.27272727272725</v>
      </c>
      <c r="H18" s="90" t="s">
        <v>77</v>
      </c>
    </row>
    <row r="19" spans="2:20" ht="14.45" customHeight="1">
      <c r="B19" s="108" t="s">
        <v>78</v>
      </c>
      <c r="C19" s="117"/>
      <c r="D19" s="112">
        <v>450</v>
      </c>
      <c r="E19" s="113" t="s">
        <v>75</v>
      </c>
      <c r="F19" s="59">
        <v>2000</v>
      </c>
      <c r="G19" s="60">
        <v>1800</v>
      </c>
    </row>
    <row r="20" spans="2:20" ht="14.45" customHeight="1">
      <c r="B20" s="108" t="s">
        <v>79</v>
      </c>
      <c r="C20" s="117"/>
      <c r="D20" s="114">
        <f>SUM(M22:M24)</f>
        <v>1503</v>
      </c>
      <c r="E20" s="116" t="s">
        <v>75</v>
      </c>
      <c r="F20" s="59">
        <f>D13</f>
        <v>2000</v>
      </c>
      <c r="G20" s="60">
        <f>D13</f>
        <v>2000</v>
      </c>
    </row>
    <row r="21" spans="2:20">
      <c r="I21" s="127"/>
      <c r="J21" s="128"/>
      <c r="K21" s="128"/>
      <c r="L21" s="128" t="s">
        <v>80</v>
      </c>
      <c r="M21" s="128" t="s">
        <v>81</v>
      </c>
      <c r="N21" s="129"/>
    </row>
    <row r="22" spans="2:20">
      <c r="I22" s="130" t="s">
        <v>82</v>
      </c>
      <c r="J22" s="135"/>
      <c r="K22" s="135">
        <v>35000</v>
      </c>
      <c r="L22" s="135">
        <v>50</v>
      </c>
      <c r="M22" s="135">
        <f>K22/L22</f>
        <v>700</v>
      </c>
      <c r="N22" s="131" t="s">
        <v>83</v>
      </c>
    </row>
    <row r="23" spans="2:20">
      <c r="I23" s="130" t="s">
        <v>6</v>
      </c>
      <c r="J23" s="135"/>
      <c r="K23" s="135">
        <v>15000</v>
      </c>
      <c r="L23" s="135">
        <v>25</v>
      </c>
      <c r="M23" s="135">
        <f t="shared" ref="M23:M24" si="0">K23/L23</f>
        <v>600</v>
      </c>
      <c r="N23" s="131" t="s">
        <v>83</v>
      </c>
    </row>
    <row r="24" spans="2:20">
      <c r="B24" t="s">
        <v>84</v>
      </c>
      <c r="I24" s="132" t="s">
        <v>85</v>
      </c>
      <c r="J24" s="133"/>
      <c r="K24" s="133">
        <v>10150</v>
      </c>
      <c r="L24" s="133">
        <v>50</v>
      </c>
      <c r="M24" s="133">
        <f t="shared" si="0"/>
        <v>203</v>
      </c>
      <c r="N24" s="134" t="s">
        <v>83</v>
      </c>
    </row>
    <row r="25" spans="2:20">
      <c r="B25" t="s">
        <v>23</v>
      </c>
      <c r="I25" s="132" t="s">
        <v>86</v>
      </c>
      <c r="J25" s="133"/>
      <c r="K25" s="133"/>
      <c r="L25" s="133"/>
      <c r="M25" s="133">
        <f>SUM(M22:M24)</f>
        <v>1503</v>
      </c>
      <c r="N25" s="134" t="s">
        <v>83</v>
      </c>
    </row>
    <row r="26" spans="2:20">
      <c r="I26" s="136"/>
      <c r="J26" s="136"/>
      <c r="K26" s="136"/>
      <c r="L26" s="136"/>
    </row>
    <row r="27" spans="2:20">
      <c r="B27" t="s">
        <v>1</v>
      </c>
      <c r="C27" s="92" t="s">
        <v>87</v>
      </c>
      <c r="G27" t="s">
        <v>88</v>
      </c>
      <c r="J27" t="s">
        <v>88</v>
      </c>
      <c r="L27" t="s">
        <v>88</v>
      </c>
      <c r="N27" t="s">
        <v>88</v>
      </c>
      <c r="Q27" t="s">
        <v>88</v>
      </c>
    </row>
    <row r="28" spans="2:20">
      <c r="B28" s="122" t="s">
        <v>89</v>
      </c>
      <c r="C28" s="110"/>
      <c r="D28" s="110"/>
      <c r="E28" s="36" t="s">
        <v>90</v>
      </c>
      <c r="F28" s="90"/>
      <c r="G28" s="91">
        <v>43879</v>
      </c>
      <c r="H28" s="90"/>
      <c r="I28" s="90"/>
      <c r="J28" s="90" t="s">
        <v>91</v>
      </c>
      <c r="K28" s="90"/>
      <c r="L28" s="90" t="s">
        <v>92</v>
      </c>
      <c r="M28" s="90"/>
      <c r="N28" s="90" t="s">
        <v>93</v>
      </c>
      <c r="O28" s="90"/>
      <c r="P28" s="90"/>
      <c r="Q28" s="90" t="s">
        <v>94</v>
      </c>
      <c r="R28" s="90"/>
      <c r="S28" s="90" t="s">
        <v>94</v>
      </c>
    </row>
    <row r="29" spans="2:20">
      <c r="B29" s="112" t="s">
        <v>63</v>
      </c>
      <c r="C29" s="123">
        <v>14</v>
      </c>
      <c r="D29" s="107" t="s">
        <v>44</v>
      </c>
      <c r="E29" s="41" t="s">
        <v>95</v>
      </c>
      <c r="G29" t="s">
        <v>96</v>
      </c>
      <c r="H29" t="s">
        <v>97</v>
      </c>
      <c r="J29" t="s">
        <v>98</v>
      </c>
      <c r="L29" t="s">
        <v>99</v>
      </c>
      <c r="N29">
        <v>14.5</v>
      </c>
      <c r="O29" t="s">
        <v>100</v>
      </c>
      <c r="Q29" s="123">
        <f>C29</f>
        <v>14</v>
      </c>
      <c r="R29" t="s">
        <v>100</v>
      </c>
      <c r="S29">
        <v>13.49</v>
      </c>
      <c r="T29" t="s">
        <v>101</v>
      </c>
    </row>
    <row r="30" spans="2:20" ht="16.149999999999999">
      <c r="B30" s="114" t="s">
        <v>102</v>
      </c>
      <c r="C30" s="124">
        <v>12.5</v>
      </c>
      <c r="D30" s="115" t="s">
        <v>50</v>
      </c>
      <c r="E30" s="47" t="s">
        <v>95</v>
      </c>
      <c r="G30" t="s">
        <v>103</v>
      </c>
      <c r="H30" t="s">
        <v>97</v>
      </c>
      <c r="J30" t="s">
        <v>104</v>
      </c>
      <c r="L30" t="s">
        <v>105</v>
      </c>
      <c r="N30">
        <v>15.5</v>
      </c>
      <c r="O30" t="s">
        <v>100</v>
      </c>
      <c r="Q30" s="123">
        <f>C30</f>
        <v>12.5</v>
      </c>
      <c r="R30" t="s">
        <v>100</v>
      </c>
    </row>
    <row r="31" spans="2:20">
      <c r="B31" s="135" t="s">
        <v>106</v>
      </c>
      <c r="C31" s="135">
        <v>1681</v>
      </c>
      <c r="D31" s="135" t="s">
        <v>107</v>
      </c>
      <c r="E31" s="135"/>
    </row>
    <row r="33" spans="2:8" ht="15">
      <c r="B33" s="34" t="s">
        <v>1</v>
      </c>
      <c r="C33" s="35">
        <v>10.1</v>
      </c>
      <c r="D33" s="35" t="s">
        <v>108</v>
      </c>
      <c r="E33" s="35"/>
      <c r="F33" s="66">
        <v>8.16</v>
      </c>
      <c r="G33" s="35" t="s">
        <v>75</v>
      </c>
      <c r="H33" s="36"/>
    </row>
    <row r="34" spans="2:8" ht="15">
      <c r="B34" s="40" t="s">
        <v>63</v>
      </c>
      <c r="C34">
        <v>1</v>
      </c>
      <c r="D34" t="s">
        <v>108</v>
      </c>
      <c r="F34" s="64">
        <v>0.80792079207920797</v>
      </c>
      <c r="G34" t="s">
        <v>75</v>
      </c>
      <c r="H34" s="41"/>
    </row>
    <row r="35" spans="2:8" ht="15">
      <c r="B35" s="45"/>
      <c r="C35" s="46">
        <v>1000</v>
      </c>
      <c r="D35" s="46" t="s">
        <v>108</v>
      </c>
      <c r="E35" s="46"/>
      <c r="F35" s="65">
        <v>807.92079207920801</v>
      </c>
      <c r="G35" s="46" t="s">
        <v>75</v>
      </c>
      <c r="H35" s="47"/>
    </row>
    <row r="36" spans="2:8" ht="15"/>
    <row r="38" spans="2:8">
      <c r="B38" s="40" t="s">
        <v>67</v>
      </c>
      <c r="C38">
        <v>1</v>
      </c>
      <c r="D38" t="s">
        <v>108</v>
      </c>
      <c r="F38" s="64">
        <v>0.72727272727272729</v>
      </c>
      <c r="G38" t="s">
        <v>75</v>
      </c>
      <c r="H38" s="41"/>
    </row>
    <row r="39" spans="2:8">
      <c r="B39" s="45"/>
      <c r="C39" s="46">
        <v>1000</v>
      </c>
      <c r="D39" s="46" t="s">
        <v>108</v>
      </c>
      <c r="E39" s="46"/>
      <c r="F39" s="65">
        <v>727.27272727272725</v>
      </c>
      <c r="G39" s="46" t="s">
        <v>75</v>
      </c>
      <c r="H39" s="47"/>
    </row>
    <row r="41" spans="2:8">
      <c r="B41" s="127"/>
      <c r="C41" s="128"/>
      <c r="D41" s="128" t="s">
        <v>109</v>
      </c>
      <c r="E41" s="128"/>
      <c r="F41" s="128" t="s">
        <v>110</v>
      </c>
      <c r="G41" s="129" t="s">
        <v>111</v>
      </c>
    </row>
    <row r="42" spans="2:8">
      <c r="B42" s="130" t="s">
        <v>52</v>
      </c>
      <c r="C42" s="135"/>
      <c r="D42" s="138">
        <v>125000</v>
      </c>
      <c r="E42" s="135" t="s">
        <v>112</v>
      </c>
      <c r="F42" s="139">
        <v>16</v>
      </c>
      <c r="G42" s="140">
        <f>D42/F42</f>
        <v>7812.5</v>
      </c>
    </row>
    <row r="43" spans="2:8">
      <c r="B43" s="132" t="s">
        <v>85</v>
      </c>
      <c r="C43" s="133"/>
      <c r="D43" s="141">
        <v>10150</v>
      </c>
      <c r="E43" s="133" t="s">
        <v>112</v>
      </c>
      <c r="F43" s="142">
        <v>50</v>
      </c>
      <c r="G43" s="143">
        <f>D43/F43</f>
        <v>203</v>
      </c>
    </row>
    <row r="44" spans="2:8">
      <c r="B44" s="132" t="s">
        <v>113</v>
      </c>
      <c r="C44" s="133"/>
      <c r="D44" s="141">
        <f>SUM(D42:D43)</f>
        <v>135150</v>
      </c>
      <c r="E44" s="133" t="s">
        <v>112</v>
      </c>
      <c r="F44" s="133"/>
      <c r="G44" s="143">
        <f>SUM(G42:G43)</f>
        <v>8015.5</v>
      </c>
    </row>
    <row r="48" spans="2:8" ht="15"/>
    <row r="49" spans="2:5" ht="15">
      <c r="B49" s="144" t="s">
        <v>114</v>
      </c>
      <c r="C49" s="145"/>
      <c r="D49" s="145"/>
      <c r="E49" s="146"/>
    </row>
    <row r="50" spans="2:5" ht="15">
      <c r="B50" s="147"/>
      <c r="C50" s="107"/>
      <c r="D50" s="107"/>
      <c r="E50" s="148"/>
    </row>
    <row r="51" spans="2:5" ht="15">
      <c r="B51" s="147"/>
      <c r="C51" s="107"/>
      <c r="D51" s="149" t="s">
        <v>31</v>
      </c>
      <c r="E51" s="148"/>
    </row>
    <row r="52" spans="2:5" ht="15">
      <c r="B52" s="150" t="s">
        <v>115</v>
      </c>
      <c r="C52" s="107"/>
      <c r="D52" s="151">
        <f>BEREGNER!J26</f>
        <v>19601.599999999999</v>
      </c>
      <c r="E52" s="148" t="s">
        <v>75</v>
      </c>
    </row>
    <row r="53" spans="2:5" ht="15">
      <c r="B53" s="150" t="str">
        <f>IF(BEREGNER!C13=B25,B25,B24)</f>
        <v>Gasfyr</v>
      </c>
      <c r="C53" s="107"/>
      <c r="D53" s="151">
        <f>IF(BEREGNER!C13=B24,BEREGNER!J33,BEREGNER!J41)</f>
        <v>24463</v>
      </c>
      <c r="E53" s="148" t="s">
        <v>75</v>
      </c>
    </row>
    <row r="54" spans="2:5" ht="15">
      <c r="B54" s="149" t="s">
        <v>52</v>
      </c>
      <c r="C54" s="107"/>
      <c r="D54" s="151">
        <f>BEREGNER!J48</f>
        <v>20125.986349206349</v>
      </c>
      <c r="E54" s="148" t="s">
        <v>75</v>
      </c>
    </row>
    <row r="55" spans="2:5" ht="15">
      <c r="B55" s="152"/>
      <c r="C55" s="107"/>
      <c r="D55" s="151"/>
      <c r="E55" s="107"/>
    </row>
    <row r="56" spans="2:5" ht="15"/>
    <row r="57" spans="2:5" ht="15"/>
  </sheetData>
  <mergeCells count="3">
    <mergeCell ref="J2:K2"/>
    <mergeCell ref="B1:I1"/>
    <mergeCell ref="M2:P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O42"/>
  <sheetViews>
    <sheetView topLeftCell="G1" workbookViewId="0">
      <selection activeCell="AA19" sqref="AA19"/>
    </sheetView>
  </sheetViews>
  <sheetFormatPr defaultColWidth="9.140625" defaultRowHeight="14.45"/>
  <cols>
    <col min="14" max="14" width="15.42578125" customWidth="1"/>
    <col min="15" max="15" width="13.28515625" customWidth="1"/>
  </cols>
  <sheetData>
    <row r="2" spans="1:40" ht="18">
      <c r="C2" s="29" t="s">
        <v>116</v>
      </c>
      <c r="D2" s="30"/>
      <c r="E2" s="30"/>
      <c r="F2" s="30"/>
      <c r="G2" s="30"/>
      <c r="H2" s="30"/>
      <c r="I2" s="30" t="s">
        <v>117</v>
      </c>
      <c r="J2" s="30"/>
      <c r="K2" s="30"/>
      <c r="L2" s="67">
        <f>BEREGNER!E15</f>
        <v>2016</v>
      </c>
      <c r="O2" s="68">
        <v>2017</v>
      </c>
      <c r="P2">
        <f t="shared" ref="P2:AN2" si="0">O2+1</f>
        <v>2018</v>
      </c>
      <c r="Q2">
        <f t="shared" si="0"/>
        <v>2019</v>
      </c>
      <c r="R2">
        <f t="shared" si="0"/>
        <v>2020</v>
      </c>
      <c r="S2">
        <f t="shared" si="0"/>
        <v>2021</v>
      </c>
      <c r="T2">
        <f t="shared" si="0"/>
        <v>2022</v>
      </c>
      <c r="U2">
        <f t="shared" si="0"/>
        <v>2023</v>
      </c>
      <c r="V2">
        <f t="shared" si="0"/>
        <v>2024</v>
      </c>
      <c r="W2">
        <f t="shared" si="0"/>
        <v>2025</v>
      </c>
      <c r="X2">
        <f t="shared" si="0"/>
        <v>2026</v>
      </c>
      <c r="Y2">
        <f t="shared" si="0"/>
        <v>2027</v>
      </c>
      <c r="Z2">
        <f t="shared" si="0"/>
        <v>2028</v>
      </c>
      <c r="AA2">
        <f t="shared" si="0"/>
        <v>2029</v>
      </c>
      <c r="AB2">
        <f t="shared" si="0"/>
        <v>2030</v>
      </c>
      <c r="AC2">
        <f t="shared" si="0"/>
        <v>2031</v>
      </c>
      <c r="AD2">
        <f t="shared" si="0"/>
        <v>2032</v>
      </c>
      <c r="AE2">
        <f t="shared" si="0"/>
        <v>2033</v>
      </c>
      <c r="AF2">
        <f t="shared" si="0"/>
        <v>2034</v>
      </c>
      <c r="AG2">
        <f t="shared" si="0"/>
        <v>2035</v>
      </c>
      <c r="AH2">
        <f t="shared" si="0"/>
        <v>2036</v>
      </c>
      <c r="AI2">
        <f t="shared" si="0"/>
        <v>2037</v>
      </c>
      <c r="AJ2">
        <f t="shared" si="0"/>
        <v>2038</v>
      </c>
      <c r="AK2">
        <f t="shared" si="0"/>
        <v>2039</v>
      </c>
      <c r="AL2">
        <f t="shared" si="0"/>
        <v>2040</v>
      </c>
      <c r="AM2">
        <f t="shared" si="0"/>
        <v>2041</v>
      </c>
      <c r="AN2">
        <f t="shared" si="0"/>
        <v>2042</v>
      </c>
    </row>
    <row r="3" spans="1:40" ht="18">
      <c r="C3" s="31"/>
      <c r="D3" s="30"/>
      <c r="E3" s="30"/>
      <c r="F3" s="30"/>
      <c r="G3" s="30"/>
      <c r="H3" s="30"/>
      <c r="I3" s="30" t="s">
        <v>118</v>
      </c>
      <c r="J3" s="30"/>
      <c r="K3" s="30"/>
      <c r="L3" s="69">
        <v>0.02</v>
      </c>
      <c r="N3" t="s">
        <v>119</v>
      </c>
      <c r="O3" s="70">
        <f>BEREGNER!$J$26*0.55</f>
        <v>10780.88</v>
      </c>
      <c r="P3" s="71">
        <f t="shared" ref="P3:AN3" si="1">O3</f>
        <v>10780.88</v>
      </c>
      <c r="Q3" s="71">
        <f t="shared" si="1"/>
        <v>10780.88</v>
      </c>
      <c r="R3" s="71">
        <f t="shared" si="1"/>
        <v>10780.88</v>
      </c>
      <c r="S3" s="71">
        <f t="shared" si="1"/>
        <v>10780.88</v>
      </c>
      <c r="T3" s="71">
        <f t="shared" si="1"/>
        <v>10780.88</v>
      </c>
      <c r="U3" s="71">
        <f t="shared" si="1"/>
        <v>10780.88</v>
      </c>
      <c r="V3" s="71">
        <f t="shared" si="1"/>
        <v>10780.88</v>
      </c>
      <c r="W3" s="71">
        <f t="shared" si="1"/>
        <v>10780.88</v>
      </c>
      <c r="X3" s="71">
        <f t="shared" si="1"/>
        <v>10780.88</v>
      </c>
      <c r="Y3" s="71">
        <f t="shared" si="1"/>
        <v>10780.88</v>
      </c>
      <c r="Z3" s="71">
        <f t="shared" si="1"/>
        <v>10780.88</v>
      </c>
      <c r="AA3" s="71">
        <f t="shared" si="1"/>
        <v>10780.88</v>
      </c>
      <c r="AB3" s="71">
        <f t="shared" si="1"/>
        <v>10780.88</v>
      </c>
      <c r="AC3" s="71">
        <f t="shared" si="1"/>
        <v>10780.88</v>
      </c>
      <c r="AD3" s="71">
        <f t="shared" si="1"/>
        <v>10780.88</v>
      </c>
      <c r="AE3" s="71">
        <f t="shared" si="1"/>
        <v>10780.88</v>
      </c>
      <c r="AF3" s="71">
        <f t="shared" si="1"/>
        <v>10780.88</v>
      </c>
      <c r="AG3" s="71">
        <f t="shared" si="1"/>
        <v>10780.88</v>
      </c>
      <c r="AH3" s="71">
        <f t="shared" si="1"/>
        <v>10780.88</v>
      </c>
      <c r="AI3" s="71">
        <f t="shared" si="1"/>
        <v>10780.88</v>
      </c>
      <c r="AJ3" s="71">
        <f t="shared" si="1"/>
        <v>10780.88</v>
      </c>
      <c r="AK3" s="71">
        <f t="shared" si="1"/>
        <v>10780.88</v>
      </c>
      <c r="AL3" s="71">
        <f t="shared" si="1"/>
        <v>10780.88</v>
      </c>
      <c r="AM3" s="71">
        <f t="shared" si="1"/>
        <v>10780.88</v>
      </c>
      <c r="AN3" s="71">
        <f t="shared" si="1"/>
        <v>10780.88</v>
      </c>
    </row>
    <row r="4" spans="1:40" ht="18">
      <c r="C4" s="32" t="s">
        <v>120</v>
      </c>
      <c r="D4" s="33"/>
      <c r="E4" s="30"/>
      <c r="F4" s="30"/>
      <c r="G4" s="30"/>
      <c r="H4" s="30"/>
      <c r="I4" s="30"/>
      <c r="N4" t="s">
        <v>121</v>
      </c>
      <c r="O4" s="70">
        <f>BEREGNER!$J$26*0.45</f>
        <v>8820.7199999999993</v>
      </c>
      <c r="P4" s="71">
        <f t="shared" ref="P4:AN4" si="2">O4+$L$3*O4</f>
        <v>8997.134399999999</v>
      </c>
      <c r="Q4" s="71">
        <f t="shared" si="2"/>
        <v>9177.0770879999982</v>
      </c>
      <c r="R4" s="71">
        <f t="shared" si="2"/>
        <v>9360.6186297599979</v>
      </c>
      <c r="S4" s="71">
        <f t="shared" si="2"/>
        <v>9547.8310023551985</v>
      </c>
      <c r="T4" s="71">
        <f t="shared" si="2"/>
        <v>9738.7876224023021</v>
      </c>
      <c r="U4" s="71">
        <f t="shared" si="2"/>
        <v>9933.5633748503478</v>
      </c>
      <c r="V4" s="71">
        <f t="shared" si="2"/>
        <v>10132.234642347355</v>
      </c>
      <c r="W4" s="71">
        <f t="shared" si="2"/>
        <v>10334.879335194302</v>
      </c>
      <c r="X4" s="71">
        <f t="shared" si="2"/>
        <v>10541.576921898188</v>
      </c>
      <c r="Y4" s="71">
        <f t="shared" si="2"/>
        <v>10752.408460336152</v>
      </c>
      <c r="Z4" s="71">
        <f t="shared" si="2"/>
        <v>10967.456629542874</v>
      </c>
      <c r="AA4" s="71">
        <f t="shared" si="2"/>
        <v>11186.805762133732</v>
      </c>
      <c r="AB4" s="71">
        <f t="shared" si="2"/>
        <v>11410.541877376407</v>
      </c>
      <c r="AC4" s="71">
        <f t="shared" si="2"/>
        <v>11638.752714923934</v>
      </c>
      <c r="AD4" s="71">
        <f t="shared" si="2"/>
        <v>11871.527769222414</v>
      </c>
      <c r="AE4" s="71">
        <f t="shared" si="2"/>
        <v>12108.958324606861</v>
      </c>
      <c r="AF4" s="71">
        <f t="shared" si="2"/>
        <v>12351.137491098998</v>
      </c>
      <c r="AG4" s="71">
        <f t="shared" si="2"/>
        <v>12598.160240920977</v>
      </c>
      <c r="AH4" s="71">
        <f t="shared" si="2"/>
        <v>12850.123445739397</v>
      </c>
      <c r="AI4" s="71">
        <f t="shared" si="2"/>
        <v>13107.125914654185</v>
      </c>
      <c r="AJ4" s="71">
        <f t="shared" si="2"/>
        <v>13369.268432947269</v>
      </c>
      <c r="AK4" s="71">
        <f t="shared" si="2"/>
        <v>13636.653801606213</v>
      </c>
      <c r="AL4" s="71">
        <f t="shared" si="2"/>
        <v>13909.386877638337</v>
      </c>
      <c r="AM4" s="71">
        <f t="shared" si="2"/>
        <v>14187.574615191104</v>
      </c>
      <c r="AN4" s="71">
        <f t="shared" si="2"/>
        <v>14471.326107494926</v>
      </c>
    </row>
    <row r="5" spans="1:40" ht="18">
      <c r="C5" s="32" t="s">
        <v>122</v>
      </c>
      <c r="D5" s="33"/>
      <c r="E5" s="30"/>
      <c r="F5" s="30"/>
      <c r="G5" s="30"/>
      <c r="H5" s="30"/>
      <c r="I5" s="30"/>
      <c r="N5" t="s">
        <v>123</v>
      </c>
      <c r="O5" s="71">
        <f t="shared" ref="O5:AN5" si="3">O3+O4</f>
        <v>19601.599999999999</v>
      </c>
      <c r="P5" s="71">
        <f t="shared" si="3"/>
        <v>19778.0144</v>
      </c>
      <c r="Q5" s="71">
        <f t="shared" si="3"/>
        <v>19957.957087999996</v>
      </c>
      <c r="R5" s="71">
        <f t="shared" si="3"/>
        <v>20141.498629759997</v>
      </c>
      <c r="S5" s="71">
        <f t="shared" si="3"/>
        <v>20328.711002355198</v>
      </c>
      <c r="T5" s="71">
        <f t="shared" si="3"/>
        <v>20519.667622402303</v>
      </c>
      <c r="U5" s="71">
        <f t="shared" si="3"/>
        <v>20714.443374850347</v>
      </c>
      <c r="V5" s="71">
        <f t="shared" si="3"/>
        <v>20913.114642347355</v>
      </c>
      <c r="W5" s="71">
        <f t="shared" si="3"/>
        <v>21115.7593351943</v>
      </c>
      <c r="X5" s="71">
        <f t="shared" si="3"/>
        <v>21322.456921898185</v>
      </c>
      <c r="Y5" s="71">
        <f t="shared" si="3"/>
        <v>21533.288460336153</v>
      </c>
      <c r="Z5" s="71">
        <f t="shared" si="3"/>
        <v>21748.336629542871</v>
      </c>
      <c r="AA5" s="71">
        <f t="shared" si="3"/>
        <v>21967.685762133733</v>
      </c>
      <c r="AB5" s="71">
        <f t="shared" si="3"/>
        <v>22191.421877376408</v>
      </c>
      <c r="AC5" s="71">
        <f t="shared" si="3"/>
        <v>22419.632714923933</v>
      </c>
      <c r="AD5" s="71">
        <f t="shared" si="3"/>
        <v>22652.407769222413</v>
      </c>
      <c r="AE5" s="71">
        <f t="shared" si="3"/>
        <v>22889.838324606862</v>
      </c>
      <c r="AF5" s="71">
        <f t="shared" si="3"/>
        <v>23132.017491098995</v>
      </c>
      <c r="AG5" s="71">
        <f t="shared" si="3"/>
        <v>23379.040240920978</v>
      </c>
      <c r="AH5" s="71">
        <f t="shared" si="3"/>
        <v>23631.003445739396</v>
      </c>
      <c r="AI5" s="71">
        <f t="shared" si="3"/>
        <v>23888.005914654183</v>
      </c>
      <c r="AJ5" s="71">
        <f t="shared" si="3"/>
        <v>24150.148432947266</v>
      </c>
      <c r="AK5" s="71">
        <f t="shared" si="3"/>
        <v>24417.533801606212</v>
      </c>
      <c r="AL5" s="71">
        <f t="shared" si="3"/>
        <v>24690.266877638336</v>
      </c>
      <c r="AM5" s="71">
        <f t="shared" si="3"/>
        <v>24968.454615191105</v>
      </c>
      <c r="AN5" s="71">
        <f t="shared" si="3"/>
        <v>25252.206107494923</v>
      </c>
    </row>
    <row r="6" spans="1:40" ht="18">
      <c r="C6" s="32" t="s">
        <v>124</v>
      </c>
      <c r="D6" s="33"/>
      <c r="E6" s="30"/>
      <c r="F6" s="30"/>
      <c r="G6" s="30"/>
      <c r="H6" s="30"/>
      <c r="I6" s="30"/>
      <c r="N6" s="30" t="s">
        <v>125</v>
      </c>
      <c r="O6" s="72">
        <f>O5</f>
        <v>19601.599999999999</v>
      </c>
      <c r="P6" s="71">
        <f t="shared" ref="P6:AN6" si="4">P5+O6</f>
        <v>39379.614399999999</v>
      </c>
      <c r="Q6" s="71">
        <f t="shared" si="4"/>
        <v>59337.571487999994</v>
      </c>
      <c r="R6" s="71">
        <f t="shared" si="4"/>
        <v>79479.070117759984</v>
      </c>
      <c r="S6" s="71">
        <f t="shared" si="4"/>
        <v>99807.781120115178</v>
      </c>
      <c r="T6" s="71">
        <f t="shared" si="4"/>
        <v>120327.44874251747</v>
      </c>
      <c r="U6" s="71">
        <f t="shared" si="4"/>
        <v>141041.89211736782</v>
      </c>
      <c r="V6" s="71">
        <f t="shared" si="4"/>
        <v>161955.00675971518</v>
      </c>
      <c r="W6" s="71">
        <f t="shared" si="4"/>
        <v>183070.76609490949</v>
      </c>
      <c r="X6" s="71">
        <f t="shared" si="4"/>
        <v>204393.22301680766</v>
      </c>
      <c r="Y6" s="71">
        <f t="shared" si="4"/>
        <v>225926.51147714382</v>
      </c>
      <c r="Z6" s="71">
        <f t="shared" si="4"/>
        <v>247674.8481066867</v>
      </c>
      <c r="AA6" s="71">
        <f t="shared" si="4"/>
        <v>269642.53386882041</v>
      </c>
      <c r="AB6" s="71">
        <f t="shared" si="4"/>
        <v>291833.95574619679</v>
      </c>
      <c r="AC6" s="71">
        <f t="shared" si="4"/>
        <v>314253.58846112073</v>
      </c>
      <c r="AD6" s="71">
        <f t="shared" si="4"/>
        <v>336905.99623034312</v>
      </c>
      <c r="AE6" s="71">
        <f t="shared" si="4"/>
        <v>359795.83455495001</v>
      </c>
      <c r="AF6" s="71">
        <f t="shared" si="4"/>
        <v>382927.85204604903</v>
      </c>
      <c r="AG6" s="71">
        <f t="shared" si="4"/>
        <v>406306.89228696999</v>
      </c>
      <c r="AH6" s="71">
        <f t="shared" si="4"/>
        <v>429937.89573270938</v>
      </c>
      <c r="AI6" s="71">
        <f t="shared" si="4"/>
        <v>453825.90164736356</v>
      </c>
      <c r="AJ6" s="71">
        <f t="shared" si="4"/>
        <v>477976.05008031084</v>
      </c>
      <c r="AK6" s="71">
        <f t="shared" si="4"/>
        <v>502393.58388191706</v>
      </c>
      <c r="AL6" s="71">
        <f t="shared" si="4"/>
        <v>527083.85075955535</v>
      </c>
      <c r="AM6" s="71">
        <f t="shared" si="4"/>
        <v>552052.30537474644</v>
      </c>
      <c r="AN6" s="71">
        <f t="shared" si="4"/>
        <v>577304.51148224133</v>
      </c>
    </row>
    <row r="7" spans="1:40" ht="18">
      <c r="C7" s="73" t="s">
        <v>126</v>
      </c>
      <c r="D7" s="74"/>
      <c r="E7" s="75"/>
      <c r="F7" s="75"/>
      <c r="G7" s="75"/>
      <c r="H7" s="75"/>
      <c r="I7" s="75"/>
      <c r="N7" s="30" t="s">
        <v>127</v>
      </c>
      <c r="O7" s="76">
        <f>BEREGNER!J13+BEREGNER!J30+BEREGNER!J37+BEREGNER!J39</f>
        <v>22463</v>
      </c>
      <c r="P7" s="77">
        <f t="shared" ref="P7:AN7" si="5">O7+$L$3*O7</f>
        <v>22912.26</v>
      </c>
      <c r="Q7" s="77">
        <f t="shared" si="5"/>
        <v>23370.5052</v>
      </c>
      <c r="R7" s="77">
        <f t="shared" si="5"/>
        <v>23837.915303999998</v>
      </c>
      <c r="S7" s="77">
        <f t="shared" si="5"/>
        <v>24314.673610079997</v>
      </c>
      <c r="T7" s="77">
        <f t="shared" si="5"/>
        <v>24800.967082281597</v>
      </c>
      <c r="U7" s="77">
        <f t="shared" si="5"/>
        <v>25296.986423927228</v>
      </c>
      <c r="V7" s="77">
        <f t="shared" si="5"/>
        <v>25802.926152405773</v>
      </c>
      <c r="W7" s="77">
        <f t="shared" si="5"/>
        <v>26318.984675453888</v>
      </c>
      <c r="X7" s="77">
        <f t="shared" si="5"/>
        <v>26845.364368962968</v>
      </c>
      <c r="Y7" s="77">
        <f t="shared" si="5"/>
        <v>27382.271656342229</v>
      </c>
      <c r="Z7" s="77">
        <f t="shared" si="5"/>
        <v>27929.917089469072</v>
      </c>
      <c r="AA7" s="77">
        <f t="shared" si="5"/>
        <v>28488.515431258453</v>
      </c>
      <c r="AB7" s="77">
        <f t="shared" si="5"/>
        <v>29058.28573988362</v>
      </c>
      <c r="AC7" s="77">
        <f t="shared" si="5"/>
        <v>29639.451454681293</v>
      </c>
      <c r="AD7" s="77">
        <f t="shared" si="5"/>
        <v>30232.24048377492</v>
      </c>
      <c r="AE7" s="77">
        <f t="shared" si="5"/>
        <v>30836.885293450418</v>
      </c>
      <c r="AF7" s="77">
        <f t="shared" si="5"/>
        <v>31453.622999319425</v>
      </c>
      <c r="AG7" s="77">
        <f t="shared" si="5"/>
        <v>32082.695459305814</v>
      </c>
      <c r="AH7" s="77">
        <f t="shared" si="5"/>
        <v>32724.34936849193</v>
      </c>
      <c r="AI7" s="77">
        <f t="shared" si="5"/>
        <v>33378.836355861771</v>
      </c>
      <c r="AJ7" s="77">
        <f t="shared" si="5"/>
        <v>34046.413082979008</v>
      </c>
      <c r="AK7" s="77">
        <f t="shared" si="5"/>
        <v>34727.341344638589</v>
      </c>
      <c r="AL7" s="77">
        <f t="shared" si="5"/>
        <v>35421.888171531362</v>
      </c>
      <c r="AM7" s="77">
        <f t="shared" si="5"/>
        <v>36130.325934961991</v>
      </c>
      <c r="AN7" s="77">
        <f t="shared" si="5"/>
        <v>36852.932453661233</v>
      </c>
    </row>
    <row r="8" spans="1:40" ht="18">
      <c r="C8" s="32" t="s">
        <v>128</v>
      </c>
      <c r="D8" s="33"/>
      <c r="E8" s="30"/>
      <c r="F8" s="30"/>
      <c r="G8" s="30"/>
      <c r="H8" s="30"/>
      <c r="I8" s="30"/>
      <c r="N8" s="30" t="s">
        <v>129</v>
      </c>
      <c r="O8" s="30"/>
    </row>
    <row r="9" spans="1:40" ht="18">
      <c r="C9" s="32" t="s">
        <v>130</v>
      </c>
      <c r="D9" s="33"/>
      <c r="E9" s="30"/>
      <c r="F9" s="30"/>
      <c r="G9" s="30"/>
      <c r="H9" s="30"/>
      <c r="I9" s="30"/>
      <c r="N9" s="30">
        <f>'Skal skjules'!L2+15</f>
        <v>2031</v>
      </c>
      <c r="O9" s="30">
        <f>IF(O2='Skal skjules'!$N$9,35000,0)</f>
        <v>0</v>
      </c>
      <c r="P9" s="30">
        <f>IF(P2='Skal skjules'!$N$9,35000,0)</f>
        <v>0</v>
      </c>
      <c r="Q9" s="30">
        <f>IF(Q2='Skal skjules'!$N$9,35000,0)</f>
        <v>0</v>
      </c>
      <c r="R9" s="30">
        <f>IF(R2='Skal skjules'!$N$9,35000,0)</f>
        <v>0</v>
      </c>
      <c r="S9" s="30">
        <f>IF(S2='Skal skjules'!$N$9,35000,0)</f>
        <v>0</v>
      </c>
      <c r="T9" s="30">
        <f>IF(T2='Skal skjules'!$N$9,35000,0)</f>
        <v>0</v>
      </c>
      <c r="U9" s="30">
        <f>IF(U2='Skal skjules'!$N$9,35000,0)</f>
        <v>0</v>
      </c>
      <c r="V9" s="30">
        <f>IF(V2='Skal skjules'!$N$9,35000,0)</f>
        <v>0</v>
      </c>
      <c r="W9" s="30">
        <f>IF(W2='Skal skjules'!$N$9,35000,0)</f>
        <v>0</v>
      </c>
      <c r="X9" s="30">
        <f>IF(X2='Skal skjules'!$N$9,35000,0)</f>
        <v>0</v>
      </c>
      <c r="Y9" s="30">
        <f>IF(Y2='Skal skjules'!$N$9,35000,0)</f>
        <v>0</v>
      </c>
      <c r="Z9" s="30">
        <f>IF(Z2='Skal skjules'!$N$9,35000,0)</f>
        <v>0</v>
      </c>
      <c r="AA9" s="30">
        <f>IF(AA2='Skal skjules'!$N$9,35000,0)</f>
        <v>0</v>
      </c>
      <c r="AB9" s="30">
        <f>IF(AB2='Skal skjules'!$N$9,35000,0)</f>
        <v>0</v>
      </c>
      <c r="AC9" s="30">
        <f>IF(AC2='Skal skjules'!$N$9,35000,0)</f>
        <v>35000</v>
      </c>
      <c r="AD9" s="30">
        <f>IF(AD2='Skal skjules'!$N$9,35000,0)</f>
        <v>0</v>
      </c>
      <c r="AE9" s="30">
        <f>IF(AE2='Skal skjules'!$N$9,35000,0)</f>
        <v>0</v>
      </c>
      <c r="AF9" s="30">
        <f>IF(AF2='Skal skjules'!$N$9,35000,0)</f>
        <v>0</v>
      </c>
      <c r="AG9" s="30">
        <f>IF(AG2='Skal skjules'!$N$9,35000,0)</f>
        <v>0</v>
      </c>
      <c r="AH9" s="30">
        <f>IF(AH2='Skal skjules'!$N$9,35000,0)</f>
        <v>0</v>
      </c>
      <c r="AI9" s="30">
        <f>IF(AI2='Skal skjules'!$N$9,35000,0)</f>
        <v>0</v>
      </c>
      <c r="AJ9" s="30">
        <f>IF(AJ2='Skal skjules'!$N$9,35000,0)</f>
        <v>0</v>
      </c>
      <c r="AK9" s="30">
        <f>IF(AK2='Skal skjules'!$N$9,35000,0)</f>
        <v>0</v>
      </c>
      <c r="AL9" s="30">
        <f>IF(AL2='Skal skjules'!$N$9,35000,0)</f>
        <v>0</v>
      </c>
      <c r="AM9" s="30">
        <f>IF(AM2='Skal skjules'!$N$9,35000,0)</f>
        <v>0</v>
      </c>
      <c r="AN9" s="30">
        <f>IF(AN2='Skal skjules'!$N$9,35000,0)</f>
        <v>0</v>
      </c>
    </row>
    <row r="10" spans="1:40" ht="18">
      <c r="C10" s="33"/>
      <c r="D10" s="33"/>
      <c r="E10" s="30"/>
      <c r="F10" s="30"/>
      <c r="G10" s="30"/>
      <c r="H10" s="30"/>
      <c r="I10" s="30"/>
      <c r="N10" s="30">
        <f>N9+15</f>
        <v>2046</v>
      </c>
      <c r="O10" s="30">
        <f>IF(O2='Skal skjules'!$N$10,35000,0)</f>
        <v>0</v>
      </c>
      <c r="P10" s="30">
        <f>IF(P2='Skal skjules'!$N$10,35000,0)</f>
        <v>0</v>
      </c>
      <c r="Q10" s="30">
        <f>IF(Q2='Skal skjules'!$N$10,35000,0)</f>
        <v>0</v>
      </c>
      <c r="R10" s="30">
        <f>IF(R2='Skal skjules'!$N$10,35000,0)</f>
        <v>0</v>
      </c>
      <c r="S10" s="30">
        <f>IF(S2='Skal skjules'!$N$10,35000,0)</f>
        <v>0</v>
      </c>
      <c r="T10" s="30">
        <f>IF(T2='Skal skjules'!$N$10,35000,0)</f>
        <v>0</v>
      </c>
      <c r="U10" s="30">
        <f>IF(U2='Skal skjules'!$N$10,35000,0)</f>
        <v>0</v>
      </c>
      <c r="V10" s="30">
        <f>IF(V2='Skal skjules'!$N$10,35000,0)</f>
        <v>0</v>
      </c>
      <c r="W10" s="30">
        <f>IF(W2='Skal skjules'!$N$10,35000,0)</f>
        <v>0</v>
      </c>
      <c r="X10" s="30">
        <f>IF(X2='Skal skjules'!$N$10,35000,0)</f>
        <v>0</v>
      </c>
      <c r="Y10" s="30">
        <f>IF(Y2='Skal skjules'!$N$10,35000,0)</f>
        <v>0</v>
      </c>
      <c r="Z10" s="30">
        <f>IF(Z2='Skal skjules'!$N$10,35000,0)</f>
        <v>0</v>
      </c>
      <c r="AA10" s="30">
        <f>IF(AA2='Skal skjules'!$N$10,35000,0)</f>
        <v>0</v>
      </c>
      <c r="AB10" s="30">
        <f>IF(AB2='Skal skjules'!$N$10,35000,0)</f>
        <v>0</v>
      </c>
      <c r="AC10" s="30">
        <f>IF(AC2='Skal skjules'!$N$10,35000,0)</f>
        <v>0</v>
      </c>
      <c r="AD10" s="30">
        <f>IF(AD2='Skal skjules'!$N$10,35000,0)</f>
        <v>0</v>
      </c>
      <c r="AE10" s="30">
        <f>IF(AE2='Skal skjules'!$N$10,35000,0)</f>
        <v>0</v>
      </c>
      <c r="AF10" s="30">
        <f>IF(AF2='Skal skjules'!$N$10,35000,0)</f>
        <v>0</v>
      </c>
      <c r="AG10" s="30">
        <f>IF(AG2='Skal skjules'!$N$10,35000,0)</f>
        <v>0</v>
      </c>
      <c r="AH10" s="30">
        <f>IF(AH2='Skal skjules'!$N$10,35000,0)</f>
        <v>0</v>
      </c>
      <c r="AI10" s="30">
        <f>IF(AI2='Skal skjules'!$N$10,35000,0)</f>
        <v>0</v>
      </c>
      <c r="AJ10" s="30">
        <f>IF(AJ2='Skal skjules'!$N$10,35000,0)</f>
        <v>0</v>
      </c>
      <c r="AK10" s="30">
        <f>IF(AK2='Skal skjules'!$N$10,35000,0)</f>
        <v>0</v>
      </c>
      <c r="AL10" s="30">
        <f>IF(AL2='Skal skjules'!$N$10,35000,0)</f>
        <v>0</v>
      </c>
      <c r="AM10" s="30">
        <f>IF(AM2='Skal skjules'!$N$10,35000,0)</f>
        <v>0</v>
      </c>
      <c r="AN10" s="30">
        <f>IF(AN2='Skal skjules'!$N$10,35000,0)</f>
        <v>0</v>
      </c>
    </row>
    <row r="11" spans="1:40" ht="18">
      <c r="A11" s="75"/>
      <c r="B11" s="75"/>
      <c r="C11" s="32" t="s">
        <v>131</v>
      </c>
      <c r="D11" s="33"/>
      <c r="E11" s="30"/>
      <c r="F11" s="30"/>
      <c r="G11" s="30"/>
      <c r="H11" s="30"/>
      <c r="I11" s="30"/>
      <c r="N11" s="75" t="s">
        <v>132</v>
      </c>
      <c r="O11" s="78">
        <f t="shared" ref="O11:AN11" si="6">O7+O9+O10</f>
        <v>22463</v>
      </c>
      <c r="P11" s="78">
        <f t="shared" si="6"/>
        <v>22912.26</v>
      </c>
      <c r="Q11" s="78">
        <f t="shared" si="6"/>
        <v>23370.5052</v>
      </c>
      <c r="R11" s="78">
        <f t="shared" si="6"/>
        <v>23837.915303999998</v>
      </c>
      <c r="S11" s="78">
        <f t="shared" si="6"/>
        <v>24314.673610079997</v>
      </c>
      <c r="T11" s="78">
        <f t="shared" si="6"/>
        <v>24800.967082281597</v>
      </c>
      <c r="U11" s="78">
        <f t="shared" si="6"/>
        <v>25296.986423927228</v>
      </c>
      <c r="V11" s="78">
        <f t="shared" si="6"/>
        <v>25802.926152405773</v>
      </c>
      <c r="W11" s="78">
        <f t="shared" si="6"/>
        <v>26318.984675453888</v>
      </c>
      <c r="X11" s="78">
        <f t="shared" si="6"/>
        <v>26845.364368962968</v>
      </c>
      <c r="Y11" s="78">
        <f t="shared" si="6"/>
        <v>27382.271656342229</v>
      </c>
      <c r="Z11" s="78">
        <f t="shared" si="6"/>
        <v>27929.917089469072</v>
      </c>
      <c r="AA11" s="78">
        <f t="shared" si="6"/>
        <v>28488.515431258453</v>
      </c>
      <c r="AB11" s="78">
        <f t="shared" si="6"/>
        <v>29058.28573988362</v>
      </c>
      <c r="AC11" s="78">
        <f t="shared" si="6"/>
        <v>64639.451454681293</v>
      </c>
      <c r="AD11" s="78">
        <f t="shared" si="6"/>
        <v>30232.24048377492</v>
      </c>
      <c r="AE11" s="78">
        <f t="shared" si="6"/>
        <v>30836.885293450418</v>
      </c>
      <c r="AF11" s="78">
        <f t="shared" si="6"/>
        <v>31453.622999319425</v>
      </c>
      <c r="AG11" s="78">
        <f t="shared" si="6"/>
        <v>32082.695459305814</v>
      </c>
      <c r="AH11" s="78">
        <f t="shared" si="6"/>
        <v>32724.34936849193</v>
      </c>
      <c r="AI11" s="78">
        <f t="shared" si="6"/>
        <v>33378.836355861771</v>
      </c>
      <c r="AJ11" s="78">
        <f t="shared" si="6"/>
        <v>34046.413082979008</v>
      </c>
      <c r="AK11" s="78">
        <f t="shared" si="6"/>
        <v>34727.341344638589</v>
      </c>
      <c r="AL11" s="78">
        <f t="shared" si="6"/>
        <v>35421.888171531362</v>
      </c>
      <c r="AM11" s="78">
        <f t="shared" si="6"/>
        <v>36130.325934961991</v>
      </c>
      <c r="AN11" s="78">
        <f t="shared" si="6"/>
        <v>36852.932453661233</v>
      </c>
    </row>
    <row r="12" spans="1:40" ht="18">
      <c r="C12" s="33" t="s">
        <v>133</v>
      </c>
      <c r="D12" s="33"/>
      <c r="E12" s="30"/>
      <c r="F12" s="30"/>
      <c r="G12" s="30"/>
      <c r="H12" s="30"/>
      <c r="I12" s="30"/>
      <c r="N12" s="30" t="s">
        <v>125</v>
      </c>
      <c r="O12" s="72">
        <f>O11</f>
        <v>22463</v>
      </c>
      <c r="P12" s="71">
        <f t="shared" ref="P12:AN12" si="7">P11+O12</f>
        <v>45375.259999999995</v>
      </c>
      <c r="Q12" s="71">
        <f t="shared" si="7"/>
        <v>68745.765199999994</v>
      </c>
      <c r="R12" s="71">
        <f t="shared" si="7"/>
        <v>92583.680503999989</v>
      </c>
      <c r="S12" s="71">
        <f t="shared" si="7"/>
        <v>116898.35411407999</v>
      </c>
      <c r="T12" s="71">
        <f t="shared" si="7"/>
        <v>141699.32119636159</v>
      </c>
      <c r="U12" s="71">
        <f t="shared" si="7"/>
        <v>166996.3076202888</v>
      </c>
      <c r="V12" s="71">
        <f t="shared" si="7"/>
        <v>192799.23377269457</v>
      </c>
      <c r="W12" s="71">
        <f t="shared" si="7"/>
        <v>219118.21844814846</v>
      </c>
      <c r="X12" s="71">
        <f t="shared" si="7"/>
        <v>245963.58281711143</v>
      </c>
      <c r="Y12" s="71">
        <f t="shared" si="7"/>
        <v>273345.85447345366</v>
      </c>
      <c r="Z12" s="71">
        <f t="shared" si="7"/>
        <v>301275.77156292275</v>
      </c>
      <c r="AA12" s="71">
        <f t="shared" si="7"/>
        <v>329764.28699418122</v>
      </c>
      <c r="AB12" s="71">
        <f t="shared" si="7"/>
        <v>358822.57273406483</v>
      </c>
      <c r="AC12" s="71">
        <f t="shared" si="7"/>
        <v>423462.02418874612</v>
      </c>
      <c r="AD12" s="71">
        <f t="shared" si="7"/>
        <v>453694.26467252104</v>
      </c>
      <c r="AE12" s="71">
        <f t="shared" si="7"/>
        <v>484531.14996597148</v>
      </c>
      <c r="AF12" s="71">
        <f t="shared" si="7"/>
        <v>515984.77296529087</v>
      </c>
      <c r="AG12" s="71">
        <f t="shared" si="7"/>
        <v>548067.46842459671</v>
      </c>
      <c r="AH12" s="71">
        <f t="shared" si="7"/>
        <v>580791.81779308862</v>
      </c>
      <c r="AI12" s="71">
        <f t="shared" si="7"/>
        <v>614170.65414895036</v>
      </c>
      <c r="AJ12" s="71">
        <f t="shared" si="7"/>
        <v>648217.0672319294</v>
      </c>
      <c r="AK12" s="71">
        <f t="shared" si="7"/>
        <v>682944.40857656801</v>
      </c>
      <c r="AL12" s="71">
        <f t="shared" si="7"/>
        <v>718366.29674809938</v>
      </c>
      <c r="AM12" s="71">
        <f t="shared" si="7"/>
        <v>754496.6226830614</v>
      </c>
      <c r="AN12" s="71">
        <f t="shared" si="7"/>
        <v>791349.55513672263</v>
      </c>
    </row>
    <row r="13" spans="1:40" ht="18">
      <c r="C13" s="33"/>
      <c r="D13" s="33"/>
      <c r="E13" s="30"/>
      <c r="F13" s="30"/>
      <c r="G13" s="30"/>
      <c r="H13" s="30"/>
      <c r="I13" s="30"/>
      <c r="N13" s="30"/>
    </row>
    <row r="14" spans="1:40" ht="18">
      <c r="C14" s="32" t="s">
        <v>134</v>
      </c>
      <c r="D14" s="33"/>
      <c r="E14" s="30"/>
      <c r="F14" s="30"/>
      <c r="G14" s="30"/>
      <c r="H14" s="30"/>
      <c r="I14" s="30"/>
      <c r="N14" s="30"/>
    </row>
    <row r="15" spans="1:40" ht="18">
      <c r="C15" s="33" t="s">
        <v>135</v>
      </c>
      <c r="D15" s="33"/>
      <c r="E15" s="30"/>
      <c r="F15" s="30"/>
      <c r="G15" s="30"/>
      <c r="H15" s="30"/>
      <c r="I15" s="30"/>
      <c r="N15" s="30"/>
    </row>
    <row r="16" spans="1:40" ht="18">
      <c r="C16" s="33"/>
      <c r="D16" s="33"/>
      <c r="E16" s="30"/>
      <c r="F16" s="30"/>
      <c r="G16" s="30"/>
      <c r="H16" s="30"/>
      <c r="I16" s="30"/>
      <c r="N16" s="30"/>
    </row>
    <row r="17" spans="3:14" ht="18">
      <c r="C17" s="32" t="s">
        <v>136</v>
      </c>
      <c r="D17" s="33"/>
      <c r="E17" s="30"/>
      <c r="F17" s="30"/>
      <c r="G17" s="30"/>
      <c r="H17" s="30"/>
      <c r="I17" s="30"/>
      <c r="N17" s="30"/>
    </row>
    <row r="18" spans="3:14" ht="18">
      <c r="C18" s="33" t="s">
        <v>137</v>
      </c>
      <c r="D18" s="33"/>
      <c r="E18" s="30"/>
      <c r="F18" s="30"/>
      <c r="G18" s="30"/>
      <c r="H18" s="30"/>
      <c r="I18" s="30"/>
      <c r="N18" s="30"/>
    </row>
    <row r="19" spans="3:14" ht="18">
      <c r="C19" s="33" t="s">
        <v>138</v>
      </c>
      <c r="D19" s="33"/>
      <c r="E19" s="30"/>
      <c r="F19" s="30"/>
      <c r="G19" s="30"/>
      <c r="H19" s="30"/>
      <c r="I19" s="30"/>
      <c r="N19" s="30"/>
    </row>
    <row r="20" spans="3:14" ht="18">
      <c r="N20" s="30"/>
    </row>
    <row r="21" spans="3:14" ht="18">
      <c r="N21" s="30"/>
    </row>
    <row r="22" spans="3:14" ht="18">
      <c r="N22" s="30"/>
    </row>
    <row r="23" spans="3:14" ht="18">
      <c r="N23" s="30"/>
    </row>
    <row r="34" spans="11:41" ht="18">
      <c r="K34" s="33"/>
      <c r="L34" s="30"/>
      <c r="M34" s="30"/>
      <c r="N34" s="30"/>
    </row>
    <row r="38" spans="11:41" s="75" customFormat="1" ht="15.6">
      <c r="AO38" s="78">
        <f>AO34+AO36+AO37</f>
        <v>0</v>
      </c>
    </row>
    <row r="40" spans="11:41" ht="18">
      <c r="O40" s="30"/>
    </row>
    <row r="41" spans="11:41" ht="18">
      <c r="O41" s="30"/>
    </row>
    <row r="42" spans="11:41" ht="18">
      <c r="O42" s="30"/>
    </row>
  </sheetData>
  <sheetProtection password="CF21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Z59"/>
  <sheetViews>
    <sheetView topLeftCell="A6" workbookViewId="0">
      <selection activeCell="E29" sqref="E29"/>
    </sheetView>
  </sheetViews>
  <sheetFormatPr defaultColWidth="9.140625" defaultRowHeight="14.45"/>
  <cols>
    <col min="15" max="15" width="14" bestFit="1" customWidth="1"/>
    <col min="16" max="16" width="10.85546875" bestFit="1" customWidth="1"/>
    <col min="17" max="18" width="10.85546875" customWidth="1"/>
    <col min="19" max="19" width="10.7109375" customWidth="1"/>
    <col min="20" max="20" width="11.7109375" customWidth="1"/>
    <col min="21" max="21" width="11.28515625" customWidth="1"/>
    <col min="22" max="22" width="11.42578125" customWidth="1"/>
    <col min="23" max="23" width="11.28515625" customWidth="1"/>
    <col min="24" max="24" width="12.7109375" customWidth="1"/>
    <col min="25" max="25" width="12.5703125" customWidth="1"/>
    <col min="26" max="26" width="10.85546875" customWidth="1"/>
    <col min="27" max="27" width="11.140625" customWidth="1"/>
    <col min="28" max="28" width="11.5703125" customWidth="1"/>
  </cols>
  <sheetData>
    <row r="7" spans="15:25" ht="18">
      <c r="O7" s="29"/>
      <c r="T7" s="30"/>
      <c r="U7" s="30"/>
      <c r="V7" s="30"/>
      <c r="W7" s="30"/>
      <c r="X7" s="30"/>
      <c r="Y7" s="30"/>
    </row>
    <row r="8" spans="15:25" ht="18">
      <c r="O8" s="31"/>
      <c r="T8" s="30"/>
      <c r="U8" s="30"/>
      <c r="V8" s="30"/>
      <c r="W8" s="30"/>
      <c r="X8" s="30"/>
      <c r="Y8" s="30"/>
    </row>
    <row r="9" spans="15:25" ht="18">
      <c r="O9" s="32"/>
      <c r="T9" s="30"/>
      <c r="U9" s="30"/>
      <c r="V9" s="30"/>
      <c r="W9" s="30"/>
      <c r="X9" s="30"/>
      <c r="Y9" s="30"/>
    </row>
    <row r="10" spans="15:25" ht="18">
      <c r="O10" s="32"/>
      <c r="P10" s="33"/>
      <c r="Q10" s="30"/>
      <c r="R10" s="30"/>
      <c r="S10" s="30"/>
      <c r="T10" s="30"/>
      <c r="U10" s="30"/>
      <c r="V10" s="30"/>
      <c r="W10" s="30"/>
      <c r="X10" s="30"/>
      <c r="Y10" s="30"/>
    </row>
    <row r="11" spans="15:25" ht="18">
      <c r="O11" s="32"/>
      <c r="P11" s="33"/>
      <c r="Q11" s="30"/>
      <c r="R11" s="30"/>
      <c r="S11" s="30"/>
      <c r="T11" s="30"/>
      <c r="U11" s="30"/>
      <c r="V11" s="30"/>
      <c r="W11" s="30"/>
      <c r="X11" s="30"/>
      <c r="Y11" s="30"/>
    </row>
    <row r="12" spans="15:25" ht="18">
      <c r="O12" s="32"/>
      <c r="P12" s="33"/>
      <c r="Q12" s="30"/>
      <c r="R12" s="30"/>
      <c r="S12" s="30"/>
      <c r="T12" s="30"/>
      <c r="U12" s="30"/>
      <c r="V12" s="30"/>
      <c r="W12" s="30"/>
      <c r="X12" s="30"/>
      <c r="Y12" s="30"/>
    </row>
    <row r="13" spans="15:25" ht="18">
      <c r="O13" s="32"/>
      <c r="P13" s="33"/>
      <c r="Q13" s="30"/>
      <c r="R13" s="30"/>
      <c r="S13" s="30"/>
      <c r="T13" s="30"/>
      <c r="U13" s="30"/>
      <c r="V13" s="30"/>
      <c r="W13" s="30"/>
      <c r="X13" s="30"/>
      <c r="Y13" s="30"/>
    </row>
    <row r="14" spans="15:25" ht="18">
      <c r="O14" s="32"/>
      <c r="P14" s="33"/>
      <c r="Q14" s="30"/>
      <c r="R14" s="30"/>
      <c r="S14" s="30"/>
      <c r="T14" s="30"/>
      <c r="U14" s="30"/>
      <c r="V14" s="30"/>
      <c r="W14" s="30"/>
      <c r="X14" s="30"/>
      <c r="Y14" s="30"/>
    </row>
    <row r="15" spans="15:25" ht="18">
      <c r="O15" s="33"/>
      <c r="P15" s="33"/>
      <c r="Q15" s="30"/>
      <c r="R15" s="30"/>
      <c r="S15" s="30"/>
      <c r="T15" s="30"/>
      <c r="U15" s="30"/>
      <c r="V15" s="30"/>
      <c r="W15" s="30"/>
      <c r="X15" s="30"/>
      <c r="Y15" s="30"/>
    </row>
    <row r="16" spans="15:25" ht="18">
      <c r="O16" s="32"/>
      <c r="P16" s="33"/>
      <c r="Q16" s="30"/>
      <c r="R16" s="30"/>
      <c r="S16" s="30"/>
      <c r="T16" s="30"/>
      <c r="U16" s="30"/>
      <c r="V16" s="30"/>
      <c r="W16" s="30"/>
      <c r="X16" s="30"/>
      <c r="Y16" s="30"/>
    </row>
    <row r="17" spans="2:26" ht="18">
      <c r="O17" s="33"/>
      <c r="P17" s="33"/>
      <c r="Q17" s="30"/>
      <c r="R17" s="30"/>
      <c r="S17" s="30"/>
      <c r="T17" s="30"/>
      <c r="U17" s="30"/>
      <c r="V17" s="30"/>
      <c r="W17" s="30"/>
      <c r="X17" s="30"/>
      <c r="Y17" s="30"/>
    </row>
    <row r="18" spans="2:26" ht="18">
      <c r="O18" s="33"/>
      <c r="P18" s="33"/>
      <c r="Q18" s="30"/>
      <c r="R18" s="30"/>
      <c r="S18" s="30"/>
      <c r="T18" s="30"/>
      <c r="U18" s="30"/>
      <c r="V18" s="30"/>
      <c r="W18" s="30"/>
      <c r="X18" s="30"/>
      <c r="Y18" s="30"/>
    </row>
    <row r="19" spans="2:26" ht="18">
      <c r="O19" s="32"/>
      <c r="P19" s="33"/>
      <c r="Q19" s="30"/>
      <c r="R19" s="30"/>
      <c r="S19" s="30"/>
      <c r="T19" s="30"/>
      <c r="U19" s="30"/>
      <c r="V19" s="30"/>
      <c r="W19" s="30"/>
      <c r="X19" s="30"/>
      <c r="Y19" s="30"/>
    </row>
    <row r="20" spans="2:26" ht="18">
      <c r="O20" s="33"/>
      <c r="P20" s="33"/>
      <c r="Q20" s="30"/>
      <c r="R20" s="30"/>
      <c r="S20" s="30"/>
      <c r="T20" s="30"/>
      <c r="U20" s="30"/>
      <c r="V20" s="30"/>
      <c r="W20" s="30"/>
      <c r="X20" s="30"/>
      <c r="Y20" s="30"/>
    </row>
    <row r="21" spans="2:26" ht="18">
      <c r="O21" s="33"/>
      <c r="P21" s="33"/>
      <c r="Q21" s="30"/>
      <c r="R21" s="30"/>
      <c r="S21" s="30"/>
      <c r="T21" s="30"/>
      <c r="U21" s="30"/>
      <c r="V21" s="30"/>
      <c r="W21" s="30"/>
      <c r="X21" s="30"/>
      <c r="Y21" s="30"/>
    </row>
    <row r="22" spans="2:26" ht="18">
      <c r="O22" s="32"/>
      <c r="P22" s="33"/>
      <c r="Q22" s="30"/>
      <c r="R22" s="30"/>
      <c r="S22" s="30"/>
      <c r="T22" s="30"/>
      <c r="U22" s="30"/>
      <c r="V22" s="30"/>
      <c r="W22" s="30"/>
      <c r="X22" s="30"/>
      <c r="Y22" s="30"/>
    </row>
    <row r="23" spans="2:26" ht="18">
      <c r="O23" s="33"/>
      <c r="P23" s="33"/>
      <c r="Q23" s="30"/>
      <c r="R23" s="30"/>
      <c r="S23" s="30"/>
      <c r="T23" s="30"/>
      <c r="U23" s="30"/>
      <c r="V23" s="30"/>
      <c r="W23" s="30"/>
      <c r="X23" s="30"/>
      <c r="Y23" s="30"/>
    </row>
    <row r="24" spans="2:26" ht="18">
      <c r="O24" s="33"/>
      <c r="P24" s="33"/>
      <c r="Q24" s="30"/>
      <c r="R24" s="30"/>
      <c r="S24" s="30"/>
      <c r="T24" s="30"/>
      <c r="U24" s="30"/>
      <c r="V24" s="30"/>
      <c r="W24" s="30"/>
      <c r="X24" s="30"/>
      <c r="Y24" s="30"/>
    </row>
    <row r="29" spans="2:26" ht="15.6">
      <c r="B29" s="168" t="s">
        <v>139</v>
      </c>
      <c r="C29" s="168"/>
      <c r="D29" s="168"/>
      <c r="Q29" s="169" t="s">
        <v>140</v>
      </c>
      <c r="R29" s="169"/>
      <c r="S29" s="169"/>
    </row>
    <row r="31" spans="2:26">
      <c r="B31" s="170" t="s">
        <v>141</v>
      </c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Q31" s="170" t="s">
        <v>142</v>
      </c>
      <c r="R31" s="170"/>
      <c r="S31" s="170"/>
      <c r="T31" s="170"/>
      <c r="U31" s="170"/>
      <c r="V31" s="170"/>
      <c r="W31" s="170"/>
      <c r="X31" s="170"/>
      <c r="Y31" s="170"/>
      <c r="Z31" s="170"/>
    </row>
    <row r="52" spans="15:15" ht="18">
      <c r="O52" s="30"/>
    </row>
    <row r="53" spans="15:15" ht="18">
      <c r="O53" s="30"/>
    </row>
    <row r="54" spans="15:15" ht="18">
      <c r="O54" s="30"/>
    </row>
    <row r="55" spans="15:15" ht="18">
      <c r="O55" s="30"/>
    </row>
    <row r="56" spans="15:15" ht="18">
      <c r="O56" s="30"/>
    </row>
    <row r="57" spans="15:15" ht="18">
      <c r="O57" s="30"/>
    </row>
    <row r="58" spans="15:15" ht="18">
      <c r="O58" s="30"/>
    </row>
    <row r="59" spans="15:15" ht="18">
      <c r="O59" s="30"/>
    </row>
  </sheetData>
  <sheetProtection password="CF21" sheet="1" objects="1" scenarios="1"/>
  <mergeCells count="4">
    <mergeCell ref="B29:D29"/>
    <mergeCell ref="Q29:S29"/>
    <mergeCell ref="B31:M31"/>
    <mergeCell ref="Q31:Z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privat</dc:creator>
  <cp:keywords/>
  <dc:description/>
  <cp:lastModifiedBy>Poul Buch</cp:lastModifiedBy>
  <cp:revision/>
  <dcterms:created xsi:type="dcterms:W3CDTF">2016-02-03T10:57:50Z</dcterms:created>
  <dcterms:modified xsi:type="dcterms:W3CDTF">2024-03-14T16:28:20Z</dcterms:modified>
  <cp:category/>
  <cp:contentStatus/>
</cp:coreProperties>
</file>